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ctrlProps/ctrlProp1.xml" ContentType="application/vnd.ms-excel.controlproperties+xml"/>
  <Override PartName="/xl/drawings/drawing5.xml" ContentType="application/vnd.openxmlformats-officedocument.drawing+xml"/>
  <Override PartName="/xl/activeX/activeX6.xml" ContentType="application/vnd.ms-office.activeX+xml"/>
  <Override PartName="/xl/activeX/activeX6.bin" ContentType="application/vnd.ms-office.activeX"/>
  <Override PartName="/xl/drawings/drawing6.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7.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12165" yWindow="1305" windowWidth="4065" windowHeight="9120" tabRatio="738"/>
  </bookViews>
  <sheets>
    <sheet name="Select Tool" sheetId="18" r:id="rId1"/>
    <sheet name="Fee Calculator" sheetId="9" r:id="rId2"/>
    <sheet name="Variables" sheetId="16" state="veryHidden" r:id="rId3"/>
    <sheet name="Fee Quote Sheet" sheetId="17" r:id="rId4"/>
    <sheet name="Lodgement Checklist" sheetId="21" r:id="rId5"/>
    <sheet name="P&amp;R Charges Index" sheetId="24" state="veryHidden" r:id="rId6"/>
    <sheet name="Cost of Development Estimator" sheetId="25" r:id="rId7"/>
    <sheet name="Old Contributions Calculator" sheetId="29" state="veryHidden" r:id="rId8"/>
    <sheet name="OCC Variables" sheetId="32" state="veryHidden" r:id="rId9"/>
    <sheet name="BAL Calculator" sheetId="30" state="veryHidden" r:id="rId10"/>
    <sheet name="BAL Variables" sheetId="31" state="veryHidden" r:id="rId11"/>
    <sheet name="Advert Guide" sheetId="33" r:id="rId12"/>
    <sheet name="Special Tools" sheetId="34" state="veryHidden" r:id="rId13"/>
  </sheets>
  <externalReferences>
    <externalReference r:id="rId14"/>
    <externalReference r:id="rId15"/>
  </externalReferences>
  <definedNames>
    <definedName name="A_1">'BAL Variables'!$A$1:$A$5</definedName>
    <definedName name="A_15">'BAL Variables'!$A$15:$A$19</definedName>
    <definedName name="A_22">'BAL Variables'!$A$22:$A$26</definedName>
    <definedName name="A_29">'BAL Variables'!$A$29:$A$33</definedName>
    <definedName name="A_8">'BAL Variables'!$A$8:$A$12</definedName>
    <definedName name="Access">'Select Tool'!$M$1:$M$4</definedName>
    <definedName name="ApplicationType" localSheetId="5">'P&amp;R Charges Index'!$H$3:$H$18</definedName>
    <definedName name="ApplicationType">'Lodgement Checklist'!$N$1:$N$5</definedName>
    <definedName name="B_1">'BAL Variables'!$B$1:$B$5</definedName>
    <definedName name="B_15">'BAL Variables'!$B$15:$B$19</definedName>
    <definedName name="B_22">'BAL Variables'!$B$22:$B$26</definedName>
    <definedName name="B_29">'BAL Variables'!$B$29:$B$33</definedName>
    <definedName name="B_8">'BAL Variables'!$B$8:$B$12</definedName>
    <definedName name="BALYesNo">'BAL Variables'!$G$31:$G$32</definedName>
    <definedName name="Building">'BAL Variables'!$I$16:$I$18</definedName>
    <definedName name="C_1">'BAL Variables'!$C$1:$C$5</definedName>
    <definedName name="C_15">'BAL Variables'!$C$15:$C$19</definedName>
    <definedName name="C_22">'BAL Variables'!$C$22:$C$26</definedName>
    <definedName name="C_29">'BAL Variables'!$C$29:$C$33</definedName>
    <definedName name="C_8">'BAL Variables'!$C$8:$C$12</definedName>
    <definedName name="Calala_Rates_Summary">#REF!</definedName>
    <definedName name="catch" localSheetId="8">'[1]Old Contributions Calculator'!$C$72:$C$73</definedName>
    <definedName name="catch">'Old Contributions Calculator'!$C$72:$C$73</definedName>
    <definedName name="Catchment">#REF!</definedName>
    <definedName name="CatList">Variables!$E$1:$E$18</definedName>
    <definedName name="ClearContents">'Fee Calculator'!$C$13:$D$13,'Fee Calculator'!$C$15:$F$15,'Fee Calculator'!$C$19,'Fee Calculator'!$C$21,'Fee Calculator'!$C$23:$D$23,'Fee Calculator'!$I$23,'Fee Calculator'!$C$25,'Fee Calculator'!$I$25,'Fee Calculator'!$C$27,'Fee Calculator'!$I$27,'Fee Calculator'!$C$29,'Fee Calculator'!$C$31,'Fee Calculator'!$C$34,'Fee Calculator'!$C$38,'Fee Calculator'!$C$40,'Fee Calculator'!$C$42,'Fee Calculator'!$C$44,'Fee Calculator'!$C$46,'Fee Calculator'!$C$48,'Fee Calculator'!$C$50,'Fee Calculator'!$C$52,'Fee Calculator'!$C$54,'Fee Calculator'!$C$56,'Fee Calculator'!$C$58,'Fee Calculator'!$C$60,'Fee Calculator'!$I$56,'Fee Calculator'!$I$58,'Fee Calculator'!$I$60</definedName>
    <definedName name="Contribution_CP">#REF!</definedName>
    <definedName name="Contribution_OSRF_Capital">#REF!</definedName>
    <definedName name="Contribution_OSRF_Land">#REF!</definedName>
    <definedName name="Contribution_PPA">#REF!</definedName>
    <definedName name="Contribution_Roads">#REF!</definedName>
    <definedName name="Cost_of_Development">#REF!</definedName>
    <definedName name="CPI_Date">#REF!</definedName>
    <definedName name="Current_Factor">#REF!</definedName>
    <definedName name="D_1">'BAL Variables'!$D$1:$D$5</definedName>
    <definedName name="D_15">'BAL Variables'!$D$15:$D$19</definedName>
    <definedName name="D_22">'BAL Variables'!$D$22:$D$26</definedName>
    <definedName name="D_29">'BAL Variables'!$D$29:$D$33</definedName>
    <definedName name="D_8">'BAL Variables'!$D$8:$D$12</definedName>
    <definedName name="DA_Ref">#REF!</definedName>
    <definedName name="Decision">'BAL Variables'!$I$32:$I$34</definedName>
    <definedName name="Development">'OCC Variables'!$B$15:$B$19</definedName>
    <definedName name="Development_Type">#REF!</definedName>
    <definedName name="Dwellings_Proposed">#REF!</definedName>
    <definedName name="Dwellings_TC">#REF!</definedName>
    <definedName name="E_1">'BAL Variables'!$E$1:$E$5</definedName>
    <definedName name="E_15">'BAL Variables'!$D$15:$D$19</definedName>
    <definedName name="E_22">'BAL Variables'!$E$22:$E$26</definedName>
    <definedName name="E_29">'BAL Variables'!$E$29:$E$33</definedName>
    <definedName name="E_8">'BAL Variables'!$E$8:$E$12</definedName>
    <definedName name="Entry">#REF!,#REF!,#REF!,#REF!,#REF!,#REF!,#REF!,#REF!,#REF!,#REF!,#REF!,#REF!,#REF!,#REF!,#REF!,#REF!,#REF!,#REF!,#REF!,#REF!,#REF!,#REF!,#REF!</definedName>
    <definedName name="Existing">#REF!</definedName>
    <definedName name="Grassland" localSheetId="9">'BAL Calculator'!$D$188:$D$192</definedName>
    <definedName name="Grassland">#REF!</definedName>
    <definedName name="Greater50">'BAL Variables'!$G$34</definedName>
    <definedName name="GST">'Fee Calculator'!$B$3</definedName>
    <definedName name="Hills_Plain_Rates_Summary">#REF!</definedName>
    <definedName name="IdentifyUser">'Select Tool'!$M$1:$M$2</definedName>
    <definedName name="j">'Cost of Development Estimator'!$P$1:$P$4</definedName>
    <definedName name="k">'Cost of Development Estimator'!$Q$1:$Q$3</definedName>
    <definedName name="Kootingal_Rates_Summary">#REF!</definedName>
    <definedName name="l">'Cost of Development Estimator'!$R$1:$R$3</definedName>
    <definedName name="m">'Cost of Development Estimator'!$S$1:$S$4</definedName>
    <definedName name="MIN_Threshold">#REF!</definedName>
    <definedName name="n">'Cost of Development Estimator'!$T$1:$T$3</definedName>
    <definedName name="Net_Difference">#REF!</definedName>
    <definedName name="o">'Cost of Development Estimator'!$U$1:$U$3</definedName>
    <definedName name="Officer">Variables!$N$1:$N$12</definedName>
    <definedName name="oo">'Cost of Development Estimator'!$O$1:$O$4</definedName>
    <definedName name="Other_LCPF">#REF!</definedName>
    <definedName name="Other_Local_Roads">#REF!</definedName>
    <definedName name="Other_LOSRF">#REF!</definedName>
    <definedName name="Other_PPA">#REF!</definedName>
    <definedName name="Other_TC">#REF!</definedName>
    <definedName name="p">'Cost of Development Estimator'!$V$1:$V$5</definedName>
    <definedName name="Plan">'Old Contributions Calculator'!$P$4:$P$18</definedName>
    <definedName name="PlanList">'OCC Variables'!$B$5:$B$10</definedName>
    <definedName name="_xlnm.Print_Area" localSheetId="9">'BAL Calculator'!$A$1:$N$195,'BAL Calculator'!$197:$250</definedName>
    <definedName name="_xlnm.Print_Area" localSheetId="10">'BAL Variables'!$A$1:$I$34</definedName>
    <definedName name="_xlnm.Print_Area" localSheetId="6">'Cost of Development Estimator'!$B:$XFD</definedName>
    <definedName name="_xlnm.Print_Area" localSheetId="1">'Fee Calculator'!$A$8:$J$87</definedName>
    <definedName name="_xlnm.Print_Area" localSheetId="3">'Fee Quote Sheet'!$A$1:$E$47</definedName>
    <definedName name="_xlnm.Print_Area" localSheetId="4">'Lodgement Checklist'!$A$1:$I$33</definedName>
    <definedName name="_xlnm.Print_Area" localSheetId="7">'Old Contributions Calculator'!$1:$44</definedName>
    <definedName name="Property_Address">#REF!</definedName>
    <definedName name="Proposed">#REF!</definedName>
    <definedName name="PublicTool">'Select Tool'!$N$1:$N$5</definedName>
    <definedName name="PVT_1bed">#REF!</definedName>
    <definedName name="PVT_2bed">#REF!</definedName>
    <definedName name="PVT_3bed">#REF!</definedName>
    <definedName name="PVT_Dwelling">#REF!</definedName>
    <definedName name="q">'Cost of Development Estimator'!$W$1:$W$4</definedName>
    <definedName name="Rates_Summary">#REF!</definedName>
    <definedName name="rr">'Cost of Development Estimator'!$X$1:$X$3</definedName>
    <definedName name="s">'Cost of Development Estimator'!$Y$1:$Y$3</definedName>
    <definedName name="Slope">'BAL Variables'!$G$25:$G$29</definedName>
    <definedName name="Solution">'BAL Variables'!$I$20:$I$23</definedName>
    <definedName name="StaffTool">'Select Tool'!$O$1:$O$9</definedName>
    <definedName name="SubType">Variables!$H$1:$H$5</definedName>
    <definedName name="Summary_Table">#REF!</definedName>
    <definedName name="t">'Cost of Development Estimator'!$Z$1:$Z$3</definedName>
    <definedName name="Tamworth_Urban_Rates_Summary">#REF!</definedName>
    <definedName name="TC">#REF!</definedName>
    <definedName name="TC_Reduction">#REF!</definedName>
    <definedName name="u">'Cost of Development Estimator'!$AA$1:$AA$3</definedName>
    <definedName name="Upslope" localSheetId="9">'BAL Calculator'!$D$156:$D$160</definedName>
    <definedName name="Upslope">#REF!</definedName>
    <definedName name="v">'Cost of Development Estimator'!$AB$1:$AB$5</definedName>
    <definedName name="Vegetation">'BAL Variables'!$G$16:$G$23</definedName>
    <definedName name="YesNo" localSheetId="9">[2]Sheet2!$G$31:$G$32</definedName>
    <definedName name="YesNo" localSheetId="10">'BAL Variables'!$G$31:$G$32</definedName>
    <definedName name="YesNo">Variables!$K$1:$K$3</definedName>
    <definedName name="YesNoNA">'Lodgement Checklist'!$M$1:$M$4</definedName>
    <definedName name="Zone">'BAL Variables'!$I$25:$I$30</definedName>
  </definedNames>
  <calcPr calcId="145621"/>
</workbook>
</file>

<file path=xl/calcChain.xml><?xml version="1.0" encoding="utf-8"?>
<calcChain xmlns="http://schemas.openxmlformats.org/spreadsheetml/2006/main">
  <c r="B39" i="17" l="1"/>
  <c r="B38" i="17"/>
  <c r="A39" i="17"/>
  <c r="A36" i="17"/>
  <c r="A23" i="17"/>
  <c r="D4" i="9"/>
  <c r="G4" i="9" s="1"/>
  <c r="G5" i="9"/>
  <c r="D5" i="9"/>
  <c r="L85" i="9"/>
  <c r="C82" i="9" l="1"/>
  <c r="K59" i="9"/>
  <c r="L59" i="9"/>
  <c r="L57" i="9"/>
  <c r="T220" i="9" l="1"/>
  <c r="T219" i="9"/>
  <c r="K201" i="9"/>
  <c r="T221" i="9" l="1"/>
  <c r="T222" i="9" s="1"/>
  <c r="S202" i="9" s="1"/>
  <c r="K58" i="9"/>
  <c r="B13" i="17" l="1"/>
  <c r="B12" i="17"/>
  <c r="V79" i="9" l="1"/>
  <c r="V78" i="9"/>
  <c r="V77" i="9"/>
  <c r="V76" i="9"/>
  <c r="V75" i="9"/>
  <c r="V74" i="9"/>
  <c r="V73" i="9"/>
  <c r="V72" i="9"/>
  <c r="U79" i="9"/>
  <c r="U78" i="9"/>
  <c r="U77" i="9"/>
  <c r="U76" i="9"/>
  <c r="U75" i="9"/>
  <c r="U74" i="9"/>
  <c r="U73" i="9"/>
  <c r="U72" i="9"/>
  <c r="V104" i="9"/>
  <c r="V103" i="9"/>
  <c r="V102" i="9"/>
  <c r="V101" i="9"/>
  <c r="V100" i="9"/>
  <c r="U106" i="9"/>
  <c r="U105" i="9"/>
  <c r="U104" i="9"/>
  <c r="U103" i="9"/>
  <c r="U102" i="9"/>
  <c r="U101" i="9"/>
  <c r="U100" i="9"/>
  <c r="G212" i="9" l="1"/>
  <c r="H212" i="9"/>
  <c r="H208" i="9"/>
  <c r="H209" i="9"/>
  <c r="H210" i="9"/>
  <c r="H211" i="9"/>
  <c r="H207" i="9"/>
  <c r="H206" i="9"/>
  <c r="H205" i="9"/>
  <c r="H204" i="9"/>
  <c r="H203" i="9"/>
  <c r="H202" i="9"/>
  <c r="H201" i="9"/>
  <c r="H200" i="9"/>
  <c r="N211" i="9" l="1"/>
  <c r="B119" i="9" l="1"/>
  <c r="B115" i="9"/>
  <c r="K221" i="9" l="1"/>
  <c r="K220" i="9"/>
  <c r="K219" i="9"/>
  <c r="K218" i="9"/>
  <c r="K217" i="9"/>
  <c r="K216" i="9"/>
  <c r="K215" i="9"/>
  <c r="K214" i="9"/>
  <c r="K212" i="9"/>
  <c r="K213" i="9"/>
  <c r="K200" i="9"/>
  <c r="G205" i="9" l="1"/>
  <c r="G203" i="9"/>
  <c r="G202" i="9"/>
  <c r="G207" i="9"/>
  <c r="G204" i="9"/>
  <c r="G201" i="9"/>
  <c r="G206" i="9"/>
  <c r="G200" i="9"/>
  <c r="L201" i="9"/>
  <c r="L206" i="9"/>
  <c r="L205" i="9"/>
  <c r="L203" i="9"/>
  <c r="L202" i="9"/>
  <c r="L204" i="9"/>
  <c r="L200" i="9"/>
  <c r="K222" i="9"/>
  <c r="C78" i="9"/>
  <c r="R209" i="9"/>
  <c r="R206" i="9"/>
  <c r="R203" i="9"/>
  <c r="R202" i="9"/>
  <c r="R201" i="9"/>
  <c r="T208" i="9"/>
  <c r="T207" i="9"/>
  <c r="S208" i="9"/>
  <c r="S207" i="9"/>
  <c r="Q216" i="9"/>
  <c r="Q215" i="9"/>
  <c r="Q214" i="9"/>
  <c r="P220" i="9"/>
  <c r="P219" i="9"/>
  <c r="P218" i="9"/>
  <c r="P217" i="9"/>
  <c r="P216" i="9"/>
  <c r="P215" i="9"/>
  <c r="P214" i="9"/>
  <c r="P221" i="9" l="1"/>
  <c r="Q217" i="9"/>
  <c r="T206" i="9"/>
  <c r="S206" i="9"/>
  <c r="T205" i="9"/>
  <c r="S205" i="9"/>
  <c r="T204" i="9"/>
  <c r="S204" i="9"/>
  <c r="T202" i="9"/>
  <c r="T201" i="9"/>
  <c r="S201" i="9"/>
  <c r="T210" i="9" l="1"/>
  <c r="S210" i="9"/>
  <c r="T211" i="9" s="1"/>
  <c r="M212" i="9" s="1"/>
  <c r="Q205" i="9"/>
  <c r="R205" i="9" s="1"/>
  <c r="Q208" i="9"/>
  <c r="Q207" i="9"/>
  <c r="Q204" i="9"/>
  <c r="BJ66" i="9"/>
  <c r="D38" i="9"/>
  <c r="BH31" i="9"/>
  <c r="O201" i="9" l="1"/>
  <c r="O200" i="9"/>
  <c r="D46" i="9" l="1"/>
  <c r="AD135" i="9" l="1"/>
  <c r="M208" i="9"/>
  <c r="M209" i="9"/>
  <c r="M210" i="9"/>
  <c r="M207" i="9"/>
  <c r="M202" i="9"/>
  <c r="M203" i="9"/>
  <c r="M204" i="9"/>
  <c r="M205" i="9"/>
  <c r="M206" i="9"/>
  <c r="M200" i="9"/>
  <c r="M201" i="9"/>
  <c r="G211" i="9" l="1"/>
  <c r="L209" i="9"/>
  <c r="L208" i="9"/>
  <c r="L207" i="9"/>
  <c r="G210" i="9"/>
  <c r="G209" i="9"/>
  <c r="G208" i="9"/>
  <c r="L210" i="9"/>
  <c r="R207" i="9"/>
  <c r="R204" i="9"/>
  <c r="R208" i="9"/>
  <c r="AA10" i="25"/>
  <c r="Z10" i="25"/>
  <c r="T10" i="25"/>
  <c r="H213" i="9" l="1"/>
  <c r="M211" i="9"/>
  <c r="R210" i="9"/>
  <c r="C83" i="9" s="1"/>
  <c r="B248" i="30"/>
  <c r="B246" i="30"/>
  <c r="K245" i="30"/>
  <c r="I245" i="30"/>
  <c r="G245" i="30"/>
  <c r="E245" i="30"/>
  <c r="B244" i="30"/>
  <c r="L240" i="30"/>
  <c r="L242" i="30" s="1"/>
  <c r="J240" i="30"/>
  <c r="J242" i="30" s="1"/>
  <c r="H240" i="30"/>
  <c r="H242" i="30" s="1"/>
  <c r="F240" i="30"/>
  <c r="F242" i="30" s="1"/>
  <c r="D240" i="30"/>
  <c r="D242" i="30" s="1"/>
  <c r="B236" i="30"/>
  <c r="B234" i="30"/>
  <c r="B232" i="30"/>
  <c r="L230" i="30"/>
  <c r="F230" i="30"/>
  <c r="L228" i="30"/>
  <c r="J228" i="30"/>
  <c r="J230" i="30" s="1"/>
  <c r="H228" i="30"/>
  <c r="H230" i="30" s="1"/>
  <c r="F228" i="30"/>
  <c r="D228" i="30"/>
  <c r="D230" i="30" s="1"/>
  <c r="B224" i="30"/>
  <c r="B222" i="30"/>
  <c r="B220" i="30"/>
  <c r="J218" i="30"/>
  <c r="D218" i="30"/>
  <c r="O216" i="30"/>
  <c r="B216" i="30" s="1"/>
  <c r="L216" i="30"/>
  <c r="L218" i="30" s="1"/>
  <c r="J216" i="30"/>
  <c r="H216" i="30"/>
  <c r="H218" i="30" s="1"/>
  <c r="F216" i="30"/>
  <c r="F218" i="30" s="1"/>
  <c r="D216" i="30"/>
  <c r="B212" i="30"/>
  <c r="B210" i="30"/>
  <c r="B208" i="30"/>
  <c r="D206" i="30"/>
  <c r="L204" i="30"/>
  <c r="L206" i="30" s="1"/>
  <c r="J204" i="30"/>
  <c r="J206" i="30" s="1"/>
  <c r="H204" i="30"/>
  <c r="H206" i="30" s="1"/>
  <c r="F204" i="30"/>
  <c r="F206" i="30" s="1"/>
  <c r="D204" i="30"/>
  <c r="D202" i="30"/>
  <c r="J201" i="30"/>
  <c r="D201" i="30"/>
  <c r="J200" i="30"/>
  <c r="D200" i="30"/>
  <c r="J199" i="30"/>
  <c r="D199" i="30"/>
  <c r="O194" i="30"/>
  <c r="L192" i="30"/>
  <c r="H192" i="30"/>
  <c r="D192" i="30"/>
  <c r="D191" i="30"/>
  <c r="D190" i="30"/>
  <c r="D189" i="30"/>
  <c r="O189" i="30" s="1"/>
  <c r="S188" i="30"/>
  <c r="R188" i="30"/>
  <c r="Q188" i="30"/>
  <c r="P188" i="30"/>
  <c r="O188" i="30"/>
  <c r="M188" i="30"/>
  <c r="L191" i="30" s="1"/>
  <c r="K188" i="30"/>
  <c r="I188" i="30"/>
  <c r="G188" i="30"/>
  <c r="F189" i="30" s="1"/>
  <c r="P189" i="30" s="1"/>
  <c r="E188" i="30"/>
  <c r="S187" i="30"/>
  <c r="R187" i="30"/>
  <c r="Q187" i="30"/>
  <c r="P187" i="30"/>
  <c r="O187" i="30"/>
  <c r="R186" i="30"/>
  <c r="J186" i="30"/>
  <c r="H186" i="30"/>
  <c r="Q186" i="30" s="1"/>
  <c r="F186" i="30"/>
  <c r="P186" i="30" s="1"/>
  <c r="L185" i="30"/>
  <c r="J185" i="30"/>
  <c r="R185" i="30" s="1"/>
  <c r="H185" i="30"/>
  <c r="Q185" i="30" s="1"/>
  <c r="P184" i="30"/>
  <c r="L184" i="30"/>
  <c r="S184" i="30" s="1"/>
  <c r="H184" i="30"/>
  <c r="Q184" i="30" s="1"/>
  <c r="R182" i="30"/>
  <c r="Q182" i="30"/>
  <c r="R181" i="30"/>
  <c r="J181" i="30"/>
  <c r="H181" i="30"/>
  <c r="Q181" i="30" s="1"/>
  <c r="F181" i="30"/>
  <c r="P181" i="30" s="1"/>
  <c r="D181" i="30"/>
  <c r="O181" i="30" s="1"/>
  <c r="L180" i="30"/>
  <c r="S180" i="30" s="1"/>
  <c r="J180" i="30"/>
  <c r="R180" i="30" s="1"/>
  <c r="H180" i="30"/>
  <c r="Q180" i="30" s="1"/>
  <c r="L179" i="30"/>
  <c r="S179" i="30" s="1"/>
  <c r="H179" i="30"/>
  <c r="Q179" i="30" s="1"/>
  <c r="S178" i="30"/>
  <c r="R178" i="30"/>
  <c r="Q178" i="30"/>
  <c r="P178" i="30"/>
  <c r="O178" i="30"/>
  <c r="M178" i="30"/>
  <c r="L182" i="30" s="1"/>
  <c r="S182" i="30" s="1"/>
  <c r="K178" i="30"/>
  <c r="J182" i="30" s="1"/>
  <c r="I178" i="30"/>
  <c r="H182" i="30" s="1"/>
  <c r="G178" i="30"/>
  <c r="F184" i="30" s="1"/>
  <c r="E178" i="30"/>
  <c r="D176" i="30"/>
  <c r="O176" i="30" s="1"/>
  <c r="L175" i="30"/>
  <c r="S175" i="30" s="1"/>
  <c r="D175" i="30"/>
  <c r="O175" i="30" s="1"/>
  <c r="O174" i="30"/>
  <c r="L174" i="30"/>
  <c r="S174" i="30" s="1"/>
  <c r="H174" i="30"/>
  <c r="Q174" i="30" s="1"/>
  <c r="L173" i="30"/>
  <c r="S173" i="30" s="1"/>
  <c r="D173" i="30"/>
  <c r="O173" i="30" s="1"/>
  <c r="S172" i="30"/>
  <c r="R172" i="30"/>
  <c r="Q172" i="30"/>
  <c r="P172" i="30"/>
  <c r="O172" i="30"/>
  <c r="M172" i="30"/>
  <c r="L176" i="30" s="1"/>
  <c r="S176" i="30" s="1"/>
  <c r="K172" i="30"/>
  <c r="I172" i="30"/>
  <c r="H173" i="30" s="1"/>
  <c r="Q173" i="30" s="1"/>
  <c r="G172" i="30"/>
  <c r="E172" i="30"/>
  <c r="D174" i="30" s="1"/>
  <c r="L170" i="30"/>
  <c r="S170" i="30" s="1"/>
  <c r="H170" i="30"/>
  <c r="Q170" i="30" s="1"/>
  <c r="Q169" i="30"/>
  <c r="P169" i="30"/>
  <c r="L169" i="30"/>
  <c r="S169" i="30" s="1"/>
  <c r="H169" i="30"/>
  <c r="F169" i="30"/>
  <c r="S168" i="30"/>
  <c r="Q168" i="30"/>
  <c r="L168" i="30"/>
  <c r="F168" i="30"/>
  <c r="P168" i="30" s="1"/>
  <c r="S167" i="30"/>
  <c r="P167" i="30"/>
  <c r="F167" i="30"/>
  <c r="S166" i="30"/>
  <c r="R166" i="30"/>
  <c r="Q166" i="30"/>
  <c r="P166" i="30"/>
  <c r="O166" i="30"/>
  <c r="M166" i="30"/>
  <c r="L167" i="30" s="1"/>
  <c r="K166" i="30"/>
  <c r="J167" i="30" s="1"/>
  <c r="R167" i="30" s="1"/>
  <c r="I166" i="30"/>
  <c r="H168" i="30" s="1"/>
  <c r="G166" i="30"/>
  <c r="F170" i="30" s="1"/>
  <c r="P170" i="30" s="1"/>
  <c r="E166" i="30"/>
  <c r="S165" i="30"/>
  <c r="R165" i="30"/>
  <c r="Q165" i="30"/>
  <c r="P165" i="30"/>
  <c r="O165" i="30"/>
  <c r="L164" i="30"/>
  <c r="J164" i="30"/>
  <c r="L163" i="30"/>
  <c r="S163" i="30" s="1"/>
  <c r="J163" i="30"/>
  <c r="J162" i="30"/>
  <c r="R162" i="30" s="1"/>
  <c r="D162" i="30"/>
  <c r="O160" i="30"/>
  <c r="D160" i="30"/>
  <c r="L159" i="30"/>
  <c r="J159" i="30"/>
  <c r="L158" i="30"/>
  <c r="J158" i="30"/>
  <c r="R157" i="30"/>
  <c r="J157" i="30"/>
  <c r="D157" i="30"/>
  <c r="S156" i="30"/>
  <c r="R156" i="30"/>
  <c r="Q156" i="30"/>
  <c r="P156" i="30"/>
  <c r="O156" i="30"/>
  <c r="M156" i="30"/>
  <c r="K156" i="30"/>
  <c r="I156" i="30"/>
  <c r="G156" i="30"/>
  <c r="E156" i="30"/>
  <c r="H147" i="30"/>
  <c r="J146" i="30"/>
  <c r="H146" i="30"/>
  <c r="F146" i="30"/>
  <c r="L145" i="30"/>
  <c r="H145" i="30"/>
  <c r="Q144" i="30"/>
  <c r="J144" i="30"/>
  <c r="R144" i="30" s="1"/>
  <c r="H144" i="30"/>
  <c r="S143" i="30"/>
  <c r="R143" i="30"/>
  <c r="Q143" i="30"/>
  <c r="P143" i="30"/>
  <c r="O143" i="30"/>
  <c r="M143" i="30"/>
  <c r="K143" i="30"/>
  <c r="I143" i="30"/>
  <c r="G143" i="30"/>
  <c r="F147" i="30" s="1"/>
  <c r="E143" i="30"/>
  <c r="S142" i="30"/>
  <c r="R142" i="30"/>
  <c r="Q142" i="30"/>
  <c r="P142" i="30"/>
  <c r="O142" i="30"/>
  <c r="L141" i="30"/>
  <c r="S141" i="30" s="1"/>
  <c r="J141" i="30"/>
  <c r="R141" i="30" s="1"/>
  <c r="D141" i="30"/>
  <c r="O141" i="30" s="1"/>
  <c r="L140" i="30"/>
  <c r="S140" i="30" s="1"/>
  <c r="H140" i="30"/>
  <c r="Q140" i="30" s="1"/>
  <c r="L139" i="30"/>
  <c r="S139" i="30" s="1"/>
  <c r="J139" i="30"/>
  <c r="R139" i="30" s="1"/>
  <c r="F139" i="30"/>
  <c r="P139" i="30" s="1"/>
  <c r="L136" i="30"/>
  <c r="S136" i="30" s="1"/>
  <c r="J136" i="30"/>
  <c r="R136" i="30" s="1"/>
  <c r="H136" i="30"/>
  <c r="Q136" i="30" s="1"/>
  <c r="D136" i="30"/>
  <c r="O136" i="30" s="1"/>
  <c r="L135" i="30"/>
  <c r="S135" i="30" s="1"/>
  <c r="H135" i="30"/>
  <c r="Q135" i="30" s="1"/>
  <c r="S134" i="30"/>
  <c r="L134" i="30"/>
  <c r="J134" i="30"/>
  <c r="R134" i="30" s="1"/>
  <c r="D134" i="30"/>
  <c r="O134" i="30" s="1"/>
  <c r="S133" i="30"/>
  <c r="R133" i="30"/>
  <c r="Q133" i="30"/>
  <c r="P133" i="30"/>
  <c r="O133" i="30"/>
  <c r="M133" i="30"/>
  <c r="L137" i="30" s="1"/>
  <c r="S137" i="30" s="1"/>
  <c r="K133" i="30"/>
  <c r="I133" i="30"/>
  <c r="G133" i="30"/>
  <c r="F135" i="30" s="1"/>
  <c r="P135" i="30" s="1"/>
  <c r="E133" i="30"/>
  <c r="L131" i="30"/>
  <c r="S131" i="30" s="1"/>
  <c r="H131" i="30"/>
  <c r="Q131" i="30" s="1"/>
  <c r="D131" i="30"/>
  <c r="O131" i="30" s="1"/>
  <c r="J129" i="30"/>
  <c r="R129" i="30" s="1"/>
  <c r="D129" i="30"/>
  <c r="O129" i="30" s="1"/>
  <c r="F128" i="30"/>
  <c r="P128" i="30" s="1"/>
  <c r="D128" i="30"/>
  <c r="O128" i="30" s="1"/>
  <c r="S127" i="30"/>
  <c r="R127" i="30"/>
  <c r="Q127" i="30"/>
  <c r="P127" i="30"/>
  <c r="O127" i="30"/>
  <c r="M127" i="30"/>
  <c r="K127" i="30"/>
  <c r="I127" i="30"/>
  <c r="G127" i="30"/>
  <c r="E127" i="30"/>
  <c r="D130" i="30" s="1"/>
  <c r="O130" i="30" s="1"/>
  <c r="L125" i="30"/>
  <c r="S125" i="30" s="1"/>
  <c r="J125" i="30"/>
  <c r="R125" i="30" s="1"/>
  <c r="F125" i="30"/>
  <c r="P125" i="30" s="1"/>
  <c r="R124" i="30"/>
  <c r="J124" i="30"/>
  <c r="D124" i="30"/>
  <c r="O124" i="30" s="1"/>
  <c r="R123" i="30"/>
  <c r="Q123" i="30"/>
  <c r="H123" i="30"/>
  <c r="F123" i="30"/>
  <c r="P123" i="30" s="1"/>
  <c r="D123" i="30"/>
  <c r="O123" i="30" s="1"/>
  <c r="Q122" i="30"/>
  <c r="L122" i="30"/>
  <c r="S122" i="30" s="1"/>
  <c r="J122" i="30"/>
  <c r="R122" i="30" s="1"/>
  <c r="H122" i="30"/>
  <c r="D122" i="30"/>
  <c r="O122" i="30" s="1"/>
  <c r="S121" i="30"/>
  <c r="R121" i="30"/>
  <c r="Q121" i="30"/>
  <c r="P121" i="30"/>
  <c r="O121" i="30"/>
  <c r="M121" i="30"/>
  <c r="K121" i="30"/>
  <c r="J123" i="30" s="1"/>
  <c r="I121" i="30"/>
  <c r="H124" i="30" s="1"/>
  <c r="Q124" i="30" s="1"/>
  <c r="G121" i="30"/>
  <c r="F124" i="30" s="1"/>
  <c r="P124" i="30" s="1"/>
  <c r="E121" i="30"/>
  <c r="D125" i="30" s="1"/>
  <c r="O125" i="30" s="1"/>
  <c r="S120" i="30"/>
  <c r="R120" i="30"/>
  <c r="Q120" i="30"/>
  <c r="P120" i="30"/>
  <c r="O120" i="30"/>
  <c r="L119" i="30"/>
  <c r="J119" i="30"/>
  <c r="H119" i="30"/>
  <c r="L118" i="30"/>
  <c r="S117" i="30"/>
  <c r="L117" i="30"/>
  <c r="S115" i="30"/>
  <c r="R115" i="30"/>
  <c r="J115" i="30"/>
  <c r="L114" i="30"/>
  <c r="J114" i="30"/>
  <c r="H114" i="30"/>
  <c r="L113" i="30"/>
  <c r="H113" i="30"/>
  <c r="S112" i="30"/>
  <c r="L112" i="30"/>
  <c r="S111" i="30"/>
  <c r="R111" i="30"/>
  <c r="Q111" i="30"/>
  <c r="P111" i="30"/>
  <c r="O111" i="30"/>
  <c r="M111" i="30"/>
  <c r="L115" i="30" s="1"/>
  <c r="K111" i="30"/>
  <c r="I111" i="30"/>
  <c r="H115" i="30" s="1"/>
  <c r="G111" i="30"/>
  <c r="E111" i="30"/>
  <c r="D119" i="30" s="1"/>
  <c r="J102" i="30"/>
  <c r="F102" i="30"/>
  <c r="F101" i="30"/>
  <c r="L100" i="30"/>
  <c r="F100" i="30"/>
  <c r="P99" i="30"/>
  <c r="F99" i="30"/>
  <c r="S98" i="30"/>
  <c r="R98" i="30"/>
  <c r="Q98" i="30"/>
  <c r="P98" i="30"/>
  <c r="O98" i="30"/>
  <c r="M98" i="30"/>
  <c r="L102" i="30" s="1"/>
  <c r="K98" i="30"/>
  <c r="J99" i="30" s="1"/>
  <c r="R99" i="30" s="1"/>
  <c r="I98" i="30"/>
  <c r="H102" i="30" s="1"/>
  <c r="G98" i="30"/>
  <c r="E98" i="30"/>
  <c r="S97" i="30"/>
  <c r="R97" i="30"/>
  <c r="Q97" i="30"/>
  <c r="P97" i="30"/>
  <c r="O97" i="30"/>
  <c r="Q96" i="30"/>
  <c r="P96" i="30"/>
  <c r="H96" i="30"/>
  <c r="F96" i="30"/>
  <c r="P95" i="30"/>
  <c r="F95" i="30"/>
  <c r="D95" i="30"/>
  <c r="O95" i="30" s="1"/>
  <c r="Q94" i="30"/>
  <c r="H94" i="30"/>
  <c r="F94" i="30"/>
  <c r="P94" i="30" s="1"/>
  <c r="D94" i="30"/>
  <c r="O94" i="30" s="1"/>
  <c r="H92" i="30"/>
  <c r="Q92" i="30" s="1"/>
  <c r="F92" i="30"/>
  <c r="P92" i="30" s="1"/>
  <c r="D92" i="30"/>
  <c r="O92" i="30" s="1"/>
  <c r="H91" i="30"/>
  <c r="Q91" i="30" s="1"/>
  <c r="F91" i="30"/>
  <c r="P91" i="30" s="1"/>
  <c r="J90" i="30"/>
  <c r="R90" i="30" s="1"/>
  <c r="F90" i="30"/>
  <c r="P90" i="30" s="1"/>
  <c r="D90" i="30"/>
  <c r="O90" i="30" s="1"/>
  <c r="J89" i="30"/>
  <c r="R89" i="30" s="1"/>
  <c r="H89" i="30"/>
  <c r="Q89" i="30" s="1"/>
  <c r="F89" i="30"/>
  <c r="P89" i="30" s="1"/>
  <c r="S88" i="30"/>
  <c r="R88" i="30"/>
  <c r="Q88" i="30"/>
  <c r="P88" i="30"/>
  <c r="O88" i="30"/>
  <c r="M88" i="30"/>
  <c r="K88" i="30"/>
  <c r="I88" i="30"/>
  <c r="G88" i="30"/>
  <c r="E88" i="30"/>
  <c r="D89" i="30" s="1"/>
  <c r="O89" i="30" s="1"/>
  <c r="O86" i="30"/>
  <c r="L86" i="30"/>
  <c r="S86" i="30" s="1"/>
  <c r="O85" i="30"/>
  <c r="D85" i="30"/>
  <c r="S84" i="30"/>
  <c r="D84" i="30"/>
  <c r="O84" i="30" s="1"/>
  <c r="D83" i="30"/>
  <c r="O83" i="30" s="1"/>
  <c r="S82" i="30"/>
  <c r="R82" i="30"/>
  <c r="Q82" i="30"/>
  <c r="P82" i="30"/>
  <c r="O82" i="30"/>
  <c r="M82" i="30"/>
  <c r="L84" i="30" s="1"/>
  <c r="K82" i="30"/>
  <c r="I82" i="30"/>
  <c r="G82" i="30"/>
  <c r="F83" i="30" s="1"/>
  <c r="P83" i="30" s="1"/>
  <c r="E82" i="30"/>
  <c r="D86" i="30" s="1"/>
  <c r="L80" i="30"/>
  <c r="S80" i="30" s="1"/>
  <c r="J80" i="30"/>
  <c r="R80" i="30" s="1"/>
  <c r="F80" i="30"/>
  <c r="P80" i="30" s="1"/>
  <c r="S79" i="30"/>
  <c r="J79" i="30"/>
  <c r="R79" i="30" s="1"/>
  <c r="H79" i="30"/>
  <c r="Q79" i="30" s="1"/>
  <c r="Q78" i="30"/>
  <c r="L78" i="30"/>
  <c r="S78" i="30" s="1"/>
  <c r="J78" i="30"/>
  <c r="R78" i="30" s="1"/>
  <c r="H78" i="30"/>
  <c r="Q77" i="30"/>
  <c r="L77" i="30"/>
  <c r="S77" i="30" s="1"/>
  <c r="H77" i="30"/>
  <c r="S76" i="30"/>
  <c r="R76" i="30"/>
  <c r="Q76" i="30"/>
  <c r="P76" i="30"/>
  <c r="O76" i="30"/>
  <c r="M76" i="30"/>
  <c r="L79" i="30" s="1"/>
  <c r="K76" i="30"/>
  <c r="J77" i="30" s="1"/>
  <c r="R77" i="30" s="1"/>
  <c r="I76" i="30"/>
  <c r="H80" i="30" s="1"/>
  <c r="Q80" i="30" s="1"/>
  <c r="G76" i="30"/>
  <c r="F78" i="30" s="1"/>
  <c r="P78" i="30" s="1"/>
  <c r="E76" i="30"/>
  <c r="S75" i="30"/>
  <c r="R75" i="30"/>
  <c r="Q75" i="30"/>
  <c r="P75" i="30"/>
  <c r="O75" i="30"/>
  <c r="O74" i="30"/>
  <c r="L74" i="30"/>
  <c r="J74" i="30"/>
  <c r="D74" i="30"/>
  <c r="O73" i="30"/>
  <c r="L73" i="30"/>
  <c r="D73" i="30"/>
  <c r="L72" i="30"/>
  <c r="D72" i="30"/>
  <c r="D70" i="30"/>
  <c r="O70" i="30" s="1"/>
  <c r="D69" i="30"/>
  <c r="F68" i="30"/>
  <c r="D68" i="30"/>
  <c r="D67" i="30"/>
  <c r="S66" i="30"/>
  <c r="R66" i="30"/>
  <c r="Q66" i="30"/>
  <c r="P66" i="30"/>
  <c r="O66" i="30"/>
  <c r="M66" i="30"/>
  <c r="K66" i="30"/>
  <c r="I66" i="30"/>
  <c r="G66" i="30"/>
  <c r="E66" i="30"/>
  <c r="L57" i="30"/>
  <c r="J57" i="30"/>
  <c r="F57" i="30"/>
  <c r="L56" i="30"/>
  <c r="J56" i="30"/>
  <c r="L55" i="30"/>
  <c r="J55" i="30"/>
  <c r="H55" i="30"/>
  <c r="D55" i="30"/>
  <c r="L54" i="30"/>
  <c r="S54" i="30" s="1"/>
  <c r="J54" i="30"/>
  <c r="R54" i="30" s="1"/>
  <c r="S53" i="30"/>
  <c r="R53" i="30"/>
  <c r="Q53" i="30"/>
  <c r="P53" i="30"/>
  <c r="O53" i="30"/>
  <c r="M53" i="30"/>
  <c r="K53" i="30"/>
  <c r="I53" i="30"/>
  <c r="G53" i="30"/>
  <c r="F55" i="30" s="1"/>
  <c r="E53" i="30"/>
  <c r="S52" i="30"/>
  <c r="R52" i="30"/>
  <c r="Q52" i="30"/>
  <c r="P52" i="30"/>
  <c r="O52" i="30"/>
  <c r="R51" i="30"/>
  <c r="J51" i="30"/>
  <c r="H51" i="30"/>
  <c r="Q51" i="30" s="1"/>
  <c r="F51" i="30"/>
  <c r="P51" i="30" s="1"/>
  <c r="D51" i="30"/>
  <c r="O51" i="30" s="1"/>
  <c r="J50" i="30"/>
  <c r="R50" i="30" s="1"/>
  <c r="H50" i="30"/>
  <c r="Q50" i="30" s="1"/>
  <c r="F50" i="30"/>
  <c r="P50" i="30" s="1"/>
  <c r="R49" i="30"/>
  <c r="F49" i="30"/>
  <c r="P49" i="30" s="1"/>
  <c r="D49" i="30"/>
  <c r="O49" i="30" s="1"/>
  <c r="J47" i="30"/>
  <c r="R47" i="30" s="1"/>
  <c r="H47" i="30"/>
  <c r="Q47" i="30" s="1"/>
  <c r="F47" i="30"/>
  <c r="P47" i="30" s="1"/>
  <c r="D47" i="30"/>
  <c r="O47" i="30" s="1"/>
  <c r="P46" i="30"/>
  <c r="O46" i="30"/>
  <c r="J46" i="30"/>
  <c r="R46" i="30" s="1"/>
  <c r="D46" i="30"/>
  <c r="P45" i="30"/>
  <c r="J45" i="30"/>
  <c r="R45" i="30" s="1"/>
  <c r="H45" i="30"/>
  <c r="Q45" i="30" s="1"/>
  <c r="F45" i="30"/>
  <c r="D45" i="30"/>
  <c r="O45" i="30" s="1"/>
  <c r="J44" i="30"/>
  <c r="R44" i="30" s="1"/>
  <c r="H44" i="30"/>
  <c r="Q44" i="30" s="1"/>
  <c r="F44" i="30"/>
  <c r="P44" i="30" s="1"/>
  <c r="S43" i="30"/>
  <c r="R43" i="30"/>
  <c r="Q43" i="30"/>
  <c r="P43" i="30"/>
  <c r="O43" i="30"/>
  <c r="M43" i="30"/>
  <c r="K43" i="30"/>
  <c r="J49" i="30" s="1"/>
  <c r="I43" i="30"/>
  <c r="H49" i="30" s="1"/>
  <c r="Q49" i="30" s="1"/>
  <c r="G43" i="30"/>
  <c r="F46" i="30" s="1"/>
  <c r="E43" i="30"/>
  <c r="L41" i="30"/>
  <c r="S41" i="30" s="1"/>
  <c r="H41" i="30"/>
  <c r="Q41" i="30" s="1"/>
  <c r="Q40" i="30"/>
  <c r="S39" i="30"/>
  <c r="Q39" i="30"/>
  <c r="H39" i="30"/>
  <c r="O38" i="30"/>
  <c r="H38" i="30"/>
  <c r="Q38" i="30" s="1"/>
  <c r="S37" i="30"/>
  <c r="R37" i="30"/>
  <c r="Q37" i="30"/>
  <c r="P37" i="30"/>
  <c r="O37" i="30"/>
  <c r="M37" i="30"/>
  <c r="L39" i="30" s="1"/>
  <c r="K37" i="30"/>
  <c r="J41" i="30" s="1"/>
  <c r="R41" i="30" s="1"/>
  <c r="I37" i="30"/>
  <c r="H40" i="30" s="1"/>
  <c r="G37" i="30"/>
  <c r="F40" i="30" s="1"/>
  <c r="P40" i="30" s="1"/>
  <c r="E37" i="30"/>
  <c r="D38" i="30" s="1"/>
  <c r="J35" i="30"/>
  <c r="R35" i="30" s="1"/>
  <c r="H35" i="30"/>
  <c r="Q35" i="30" s="1"/>
  <c r="F35" i="30"/>
  <c r="P35" i="30" s="1"/>
  <c r="D35" i="30"/>
  <c r="O35" i="30" s="1"/>
  <c r="P34" i="30"/>
  <c r="O34" i="30"/>
  <c r="J34" i="30"/>
  <c r="R34" i="30" s="1"/>
  <c r="D34" i="30"/>
  <c r="P33" i="30"/>
  <c r="J33" i="30"/>
  <c r="R33" i="30" s="1"/>
  <c r="H33" i="30"/>
  <c r="Q33" i="30" s="1"/>
  <c r="F33" i="30"/>
  <c r="D33" i="30"/>
  <c r="O33" i="30" s="1"/>
  <c r="O32" i="30"/>
  <c r="J32" i="30"/>
  <c r="R32" i="30" s="1"/>
  <c r="H32" i="30"/>
  <c r="Q32" i="30" s="1"/>
  <c r="F32" i="30"/>
  <c r="P32" i="30" s="1"/>
  <c r="S31" i="30"/>
  <c r="R31" i="30"/>
  <c r="Q31" i="30"/>
  <c r="P31" i="30"/>
  <c r="O31" i="30"/>
  <c r="M31" i="30"/>
  <c r="L33" i="30" s="1"/>
  <c r="S33" i="30" s="1"/>
  <c r="K31" i="30"/>
  <c r="I31" i="30"/>
  <c r="H34" i="30" s="1"/>
  <c r="Q34" i="30" s="1"/>
  <c r="G31" i="30"/>
  <c r="F34" i="30" s="1"/>
  <c r="E31" i="30"/>
  <c r="D32" i="30" s="1"/>
  <c r="S30" i="30"/>
  <c r="R30" i="30"/>
  <c r="Q30" i="30"/>
  <c r="P30" i="30"/>
  <c r="O30" i="30"/>
  <c r="Q29" i="30"/>
  <c r="H29" i="30"/>
  <c r="H249" i="30" s="1"/>
  <c r="F29" i="30"/>
  <c r="F249" i="30" s="1"/>
  <c r="H28" i="30"/>
  <c r="J27" i="30"/>
  <c r="J245" i="30" s="1"/>
  <c r="Q25" i="30"/>
  <c r="J25" i="30"/>
  <c r="H25" i="30"/>
  <c r="F25" i="30"/>
  <c r="D25" i="30"/>
  <c r="Q24" i="30"/>
  <c r="O24" i="30"/>
  <c r="H24" i="30"/>
  <c r="D24" i="30"/>
  <c r="Q23" i="30"/>
  <c r="H23" i="30"/>
  <c r="F23" i="30"/>
  <c r="P23" i="30" s="1"/>
  <c r="D23" i="30"/>
  <c r="J22" i="30"/>
  <c r="H22" i="30"/>
  <c r="F22" i="30"/>
  <c r="D22" i="30"/>
  <c r="O22" i="30" s="1"/>
  <c r="S21" i="30"/>
  <c r="R21" i="30"/>
  <c r="Q21" i="30"/>
  <c r="P21" i="30"/>
  <c r="O21" i="30"/>
  <c r="M21" i="30"/>
  <c r="L28" i="30" s="1"/>
  <c r="K21" i="30"/>
  <c r="J29" i="30" s="1"/>
  <c r="J249" i="30" s="1"/>
  <c r="I21" i="30"/>
  <c r="H27" i="30" s="1"/>
  <c r="H245" i="30" s="1"/>
  <c r="G21" i="30"/>
  <c r="E21" i="30"/>
  <c r="D29" i="30" s="1"/>
  <c r="L4" i="30"/>
  <c r="L199" i="30" s="1"/>
  <c r="J4" i="30"/>
  <c r="M213" i="9" l="1"/>
  <c r="C76" i="9" s="1"/>
  <c r="E76" i="9" s="1"/>
  <c r="J40" i="30"/>
  <c r="R40" i="30" s="1"/>
  <c r="J248" i="30"/>
  <c r="J38" i="30"/>
  <c r="R38" i="30" s="1"/>
  <c r="J39" i="30"/>
  <c r="R39" i="30" s="1"/>
  <c r="J170" i="30"/>
  <c r="R170" i="30" s="1"/>
  <c r="D225" i="30"/>
  <c r="O119" i="30"/>
  <c r="S28" i="30"/>
  <c r="D249" i="30"/>
  <c r="O29" i="30"/>
  <c r="H247" i="30"/>
  <c r="Q28" i="30"/>
  <c r="L94" i="30"/>
  <c r="S94" i="30" s="1"/>
  <c r="L89" i="30"/>
  <c r="S89" i="30" s="1"/>
  <c r="L95" i="30"/>
  <c r="S95" i="30" s="1"/>
  <c r="L92" i="30"/>
  <c r="S92" i="30" s="1"/>
  <c r="L91" i="30"/>
  <c r="S91" i="30" s="1"/>
  <c r="L90" i="30"/>
  <c r="S90" i="30" s="1"/>
  <c r="L96" i="30"/>
  <c r="S96" i="30" s="1"/>
  <c r="Q115" i="30"/>
  <c r="J130" i="30"/>
  <c r="R130" i="30" s="1"/>
  <c r="J128" i="30"/>
  <c r="R128" i="30" s="1"/>
  <c r="F162" i="30"/>
  <c r="F157" i="30"/>
  <c r="G206" i="30"/>
  <c r="F159" i="30"/>
  <c r="F160" i="30"/>
  <c r="F158" i="30"/>
  <c r="F164" i="30"/>
  <c r="L25" i="30"/>
  <c r="L27" i="30"/>
  <c r="J28" i="30"/>
  <c r="D56" i="30"/>
  <c r="D246" i="30" s="1"/>
  <c r="D54" i="30"/>
  <c r="O54" i="30" s="1"/>
  <c r="S72" i="30"/>
  <c r="H162" i="30"/>
  <c r="H157" i="30"/>
  <c r="H163" i="30"/>
  <c r="H158" i="30"/>
  <c r="H160" i="30"/>
  <c r="I206" i="30"/>
  <c r="H164" i="30"/>
  <c r="H159" i="30"/>
  <c r="O157" i="30"/>
  <c r="L51" i="30"/>
  <c r="S51" i="30" s="1"/>
  <c r="L45" i="30"/>
  <c r="S45" i="30" s="1"/>
  <c r="O68" i="30"/>
  <c r="D102" i="30"/>
  <c r="D100" i="30"/>
  <c r="D99" i="30"/>
  <c r="O99" i="30" s="1"/>
  <c r="B241" i="30"/>
  <c r="T58" i="30"/>
  <c r="U21" i="30"/>
  <c r="L46" i="30"/>
  <c r="S46" i="30" s="1"/>
  <c r="P68" i="30"/>
  <c r="L35" i="30"/>
  <c r="S35" i="30" s="1"/>
  <c r="D41" i="30"/>
  <c r="O41" i="30" s="1"/>
  <c r="L47" i="30"/>
  <c r="S47" i="30" s="1"/>
  <c r="L49" i="30"/>
  <c r="S49" i="30" s="1"/>
  <c r="F74" i="30"/>
  <c r="F69" i="30"/>
  <c r="F73" i="30"/>
  <c r="F72" i="30"/>
  <c r="F70" i="30"/>
  <c r="S74" i="30"/>
  <c r="D77" i="30"/>
  <c r="O77" i="30" s="1"/>
  <c r="D79" i="30"/>
  <c r="O79" i="30" s="1"/>
  <c r="D78" i="30"/>
  <c r="O78" i="30" s="1"/>
  <c r="D80" i="30"/>
  <c r="O80" i="30" s="1"/>
  <c r="J85" i="30"/>
  <c r="R85" i="30" s="1"/>
  <c r="J84" i="30"/>
  <c r="R84" i="30" s="1"/>
  <c r="J83" i="30"/>
  <c r="R83" i="30" s="1"/>
  <c r="J86" i="30"/>
  <c r="R86" i="30" s="1"/>
  <c r="B217" i="30"/>
  <c r="D147" i="30"/>
  <c r="D146" i="30"/>
  <c r="D144" i="30"/>
  <c r="O144" i="30" s="1"/>
  <c r="O145" i="30" s="1"/>
  <c r="D145" i="30"/>
  <c r="F174" i="30"/>
  <c r="P174" i="30" s="1"/>
  <c r="F175" i="30"/>
  <c r="P175" i="30" s="1"/>
  <c r="F176" i="30"/>
  <c r="P176" i="30" s="1"/>
  <c r="S185" i="30"/>
  <c r="L211" i="30"/>
  <c r="L29" i="30"/>
  <c r="L23" i="30"/>
  <c r="F56" i="30"/>
  <c r="F54" i="30"/>
  <c r="P54" i="30" s="1"/>
  <c r="L224" i="30"/>
  <c r="H56" i="30"/>
  <c r="H57" i="30"/>
  <c r="J237" i="30"/>
  <c r="R74" i="30"/>
  <c r="H85" i="30"/>
  <c r="Q85" i="30" s="1"/>
  <c r="H86" i="30"/>
  <c r="Q86" i="30" s="1"/>
  <c r="H84" i="30"/>
  <c r="Q84" i="30" s="1"/>
  <c r="H83" i="30"/>
  <c r="Q83" i="30" s="1"/>
  <c r="H244" i="30"/>
  <c r="F38" i="30"/>
  <c r="P38" i="30" s="1"/>
  <c r="J23" i="30"/>
  <c r="R27" i="30"/>
  <c r="F39" i="30"/>
  <c r="P39" i="30" s="1"/>
  <c r="D40" i="30"/>
  <c r="O40" i="30" s="1"/>
  <c r="F41" i="30"/>
  <c r="P41" i="30" s="1"/>
  <c r="L50" i="30"/>
  <c r="S50" i="30" s="1"/>
  <c r="H72" i="30"/>
  <c r="H70" i="30"/>
  <c r="H69" i="30"/>
  <c r="H68" i="30"/>
  <c r="H74" i="30"/>
  <c r="H73" i="30"/>
  <c r="O67" i="30"/>
  <c r="Q114" i="30"/>
  <c r="F244" i="30"/>
  <c r="F86" i="30"/>
  <c r="P86" i="30" s="1"/>
  <c r="F85" i="30"/>
  <c r="P85" i="30" s="1"/>
  <c r="F84" i="30"/>
  <c r="P84" i="30" s="1"/>
  <c r="Q119" i="30"/>
  <c r="L32" i="30"/>
  <c r="S32" i="30" s="1"/>
  <c r="L34" i="30"/>
  <c r="S34" i="30" s="1"/>
  <c r="L44" i="30"/>
  <c r="S44" i="30" s="1"/>
  <c r="J225" i="30"/>
  <c r="R119" i="30"/>
  <c r="Q27" i="30"/>
  <c r="D39" i="30"/>
  <c r="O39" i="30" s="1"/>
  <c r="D248" i="30"/>
  <c r="O25" i="30"/>
  <c r="P25" i="30"/>
  <c r="D50" i="30"/>
  <c r="O50" i="30" s="1"/>
  <c r="D44" i="30"/>
  <c r="O44" i="30" s="1"/>
  <c r="J73" i="30"/>
  <c r="J68" i="30"/>
  <c r="J70" i="30"/>
  <c r="J69" i="30"/>
  <c r="J67" i="30"/>
  <c r="J72" i="30"/>
  <c r="F67" i="30"/>
  <c r="L235" i="30"/>
  <c r="S73" i="30"/>
  <c r="D118" i="30"/>
  <c r="D113" i="30"/>
  <c r="D115" i="30"/>
  <c r="D117" i="30"/>
  <c r="D112" i="30"/>
  <c r="D114" i="30"/>
  <c r="J222" i="30"/>
  <c r="R114" i="30"/>
  <c r="F131" i="30"/>
  <c r="P131" i="30" s="1"/>
  <c r="F130" i="30"/>
  <c r="P130" i="30" s="1"/>
  <c r="F129" i="30"/>
  <c r="P129" i="30" s="1"/>
  <c r="F163" i="30"/>
  <c r="J173" i="30"/>
  <c r="R173" i="30" s="1"/>
  <c r="J174" i="30"/>
  <c r="R174" i="30" s="1"/>
  <c r="J175" i="30"/>
  <c r="R175" i="30" s="1"/>
  <c r="J176" i="30"/>
  <c r="R176" i="30" s="1"/>
  <c r="F173" i="30"/>
  <c r="P173" i="30" s="1"/>
  <c r="P244" i="30"/>
  <c r="R249" i="30"/>
  <c r="Q22" i="30"/>
  <c r="D101" i="30"/>
  <c r="R25" i="30"/>
  <c r="P29" i="30"/>
  <c r="H54" i="30"/>
  <c r="Q54" i="30" s="1"/>
  <c r="Q113" i="30"/>
  <c r="L22" i="30"/>
  <c r="R29" i="30"/>
  <c r="P22" i="30"/>
  <c r="O23" i="30"/>
  <c r="J24" i="30"/>
  <c r="D28" i="30"/>
  <c r="F24" i="30"/>
  <c r="Q249" i="30" s="1"/>
  <c r="F27" i="30"/>
  <c r="R22" i="30"/>
  <c r="L24" i="30"/>
  <c r="H248" i="30"/>
  <c r="D27" i="30"/>
  <c r="P250" i="30" s="1"/>
  <c r="F28" i="30"/>
  <c r="L38" i="30"/>
  <c r="S38" i="30" s="1"/>
  <c r="L40" i="30"/>
  <c r="S40" i="30" s="1"/>
  <c r="D57" i="30"/>
  <c r="L69" i="30"/>
  <c r="L68" i="30"/>
  <c r="L67" i="30"/>
  <c r="L70" i="30"/>
  <c r="H67" i="30"/>
  <c r="O69" i="30"/>
  <c r="J96" i="30"/>
  <c r="R96" i="30" s="1"/>
  <c r="J95" i="30"/>
  <c r="R95" i="30" s="1"/>
  <c r="J94" i="30"/>
  <c r="R94" i="30" s="1"/>
  <c r="J92" i="30"/>
  <c r="R92" i="30" s="1"/>
  <c r="J91" i="30"/>
  <c r="R91" i="30" s="1"/>
  <c r="F118" i="30"/>
  <c r="F113" i="30"/>
  <c r="F119" i="30"/>
  <c r="F114" i="30"/>
  <c r="F115" i="30"/>
  <c r="F117" i="30"/>
  <c r="F112" i="30"/>
  <c r="S114" i="30"/>
  <c r="H129" i="30"/>
  <c r="Q129" i="30" s="1"/>
  <c r="H130" i="30"/>
  <c r="Q130" i="30" s="1"/>
  <c r="H128" i="30"/>
  <c r="Q128" i="30" s="1"/>
  <c r="J131" i="30"/>
  <c r="R131" i="30" s="1"/>
  <c r="S159" i="30"/>
  <c r="R163" i="30"/>
  <c r="J211" i="30"/>
  <c r="H46" i="30"/>
  <c r="Q46" i="30" s="1"/>
  <c r="F79" i="30"/>
  <c r="P79" i="30" s="1"/>
  <c r="L85" i="30"/>
  <c r="S85" i="30" s="1"/>
  <c r="H95" i="30"/>
  <c r="Q95" i="30" s="1"/>
  <c r="H90" i="30"/>
  <c r="Q90" i="30" s="1"/>
  <c r="L99" i="30"/>
  <c r="S99" i="30" s="1"/>
  <c r="J100" i="30"/>
  <c r="L123" i="30"/>
  <c r="S123" i="30" s="1"/>
  <c r="L124" i="30"/>
  <c r="S124" i="30" s="1"/>
  <c r="J140" i="30"/>
  <c r="R140" i="30" s="1"/>
  <c r="J135" i="30"/>
  <c r="R135" i="30" s="1"/>
  <c r="F134" i="30"/>
  <c r="P134" i="30" s="1"/>
  <c r="J137" i="30"/>
  <c r="R137" i="30" s="1"/>
  <c r="J190" i="30"/>
  <c r="J191" i="30"/>
  <c r="J189" i="30"/>
  <c r="R189" i="30" s="1"/>
  <c r="J192" i="30"/>
  <c r="H101" i="30"/>
  <c r="H117" i="30"/>
  <c r="H112" i="30"/>
  <c r="L220" i="30"/>
  <c r="S113" i="30"/>
  <c r="H118" i="30"/>
  <c r="L225" i="30"/>
  <c r="S119" i="30"/>
  <c r="L128" i="30"/>
  <c r="S128" i="30" s="1"/>
  <c r="L129" i="30"/>
  <c r="S129" i="30" s="1"/>
  <c r="B229" i="30"/>
  <c r="O72" i="30"/>
  <c r="D233" i="30"/>
  <c r="J101" i="30"/>
  <c r="J117" i="30"/>
  <c r="J112" i="30"/>
  <c r="J118" i="30"/>
  <c r="J113" i="30"/>
  <c r="L223" i="30"/>
  <c r="S118" i="30"/>
  <c r="R158" i="30"/>
  <c r="D169" i="30"/>
  <c r="O169" i="30" s="1"/>
  <c r="D167" i="30"/>
  <c r="O167" i="30" s="1"/>
  <c r="D168" i="30"/>
  <c r="O168" i="30" s="1"/>
  <c r="D170" i="30"/>
  <c r="O170" i="30" s="1"/>
  <c r="D235" i="30"/>
  <c r="F77" i="30"/>
  <c r="P77" i="30" s="1"/>
  <c r="D96" i="30"/>
  <c r="O96" i="30" s="1"/>
  <c r="D91" i="30"/>
  <c r="O91" i="30" s="1"/>
  <c r="H99" i="30"/>
  <c r="Q99" i="30" s="1"/>
  <c r="L101" i="30"/>
  <c r="L130" i="30"/>
  <c r="S130" i="30" s="1"/>
  <c r="F141" i="30"/>
  <c r="P141" i="30" s="1"/>
  <c r="F136" i="30"/>
  <c r="P136" i="30" s="1"/>
  <c r="F140" i="30"/>
  <c r="P140" i="30" s="1"/>
  <c r="F137" i="30"/>
  <c r="P137" i="30" s="1"/>
  <c r="L146" i="30"/>
  <c r="L144" i="30"/>
  <c r="S144" i="30" s="1"/>
  <c r="L208" i="30"/>
  <c r="S158" i="30"/>
  <c r="J213" i="30"/>
  <c r="R164" i="30"/>
  <c r="D185" i="30"/>
  <c r="O185" i="30" s="1"/>
  <c r="D180" i="30"/>
  <c r="O180" i="30" s="1"/>
  <c r="D184" i="30"/>
  <c r="O184" i="30" s="1"/>
  <c r="D179" i="30"/>
  <c r="O179" i="30" s="1"/>
  <c r="D186" i="30"/>
  <c r="O186" i="30" s="1"/>
  <c r="D182" i="30"/>
  <c r="O182" i="30" s="1"/>
  <c r="F190" i="30"/>
  <c r="F192" i="30"/>
  <c r="F191" i="30"/>
  <c r="L83" i="30"/>
  <c r="S83" i="30" s="1"/>
  <c r="H100" i="30"/>
  <c r="L221" i="30"/>
  <c r="F122" i="30"/>
  <c r="P122" i="30" s="1"/>
  <c r="H139" i="30"/>
  <c r="Q139" i="30" s="1"/>
  <c r="H134" i="30"/>
  <c r="Q134" i="30" s="1"/>
  <c r="H141" i="30"/>
  <c r="Q141" i="30" s="1"/>
  <c r="H137" i="30"/>
  <c r="Q137" i="30" s="1"/>
  <c r="L147" i="30"/>
  <c r="S164" i="30"/>
  <c r="H125" i="30"/>
  <c r="Q125" i="30" s="1"/>
  <c r="D140" i="30"/>
  <c r="O140" i="30" s="1"/>
  <c r="D135" i="30"/>
  <c r="O135" i="30" s="1"/>
  <c r="D137" i="30"/>
  <c r="O137" i="30" s="1"/>
  <c r="D139" i="30"/>
  <c r="O139" i="30" s="1"/>
  <c r="D163" i="30"/>
  <c r="D158" i="30"/>
  <c r="P198" i="30" s="1"/>
  <c r="D164" i="30"/>
  <c r="D159" i="30"/>
  <c r="R159" i="30"/>
  <c r="H190" i="30"/>
  <c r="H191" i="30"/>
  <c r="H189" i="30"/>
  <c r="Q189" i="30" s="1"/>
  <c r="O190" i="30" s="1"/>
  <c r="O204" i="30"/>
  <c r="B204" i="30" s="1"/>
  <c r="K206" i="30"/>
  <c r="D209" i="30"/>
  <c r="L160" i="30"/>
  <c r="L162" i="30"/>
  <c r="L157" i="30"/>
  <c r="J209" i="30"/>
  <c r="H176" i="30"/>
  <c r="Q176" i="30" s="1"/>
  <c r="F144" i="30"/>
  <c r="P144" i="30" s="1"/>
  <c r="F145" i="30"/>
  <c r="B205" i="30"/>
  <c r="O162" i="30"/>
  <c r="J168" i="30"/>
  <c r="R168" i="30" s="1"/>
  <c r="J169" i="30"/>
  <c r="R169" i="30" s="1"/>
  <c r="H175" i="30"/>
  <c r="Q175" i="30" s="1"/>
  <c r="O240" i="30"/>
  <c r="B240" i="30" s="1"/>
  <c r="J145" i="30"/>
  <c r="J147" i="30"/>
  <c r="H167" i="30"/>
  <c r="Q167" i="30" s="1"/>
  <c r="J179" i="30"/>
  <c r="R179" i="30" s="1"/>
  <c r="F180" i="30"/>
  <c r="P180" i="30" s="1"/>
  <c r="J184" i="30"/>
  <c r="R184" i="30" s="1"/>
  <c r="F185" i="30"/>
  <c r="P185" i="30" s="1"/>
  <c r="L190" i="30"/>
  <c r="F182" i="30"/>
  <c r="P182" i="30" s="1"/>
  <c r="O228" i="30"/>
  <c r="B228" i="30" s="1"/>
  <c r="J160" i="30"/>
  <c r="L181" i="30"/>
  <c r="S181" i="30" s="1"/>
  <c r="L186" i="30"/>
  <c r="S186" i="30" s="1"/>
  <c r="F179" i="30"/>
  <c r="P179" i="30" s="1"/>
  <c r="L189" i="30"/>
  <c r="S189" i="30" s="1"/>
  <c r="B120" i="9"/>
  <c r="B17" i="17"/>
  <c r="C29" i="17" l="1"/>
  <c r="B14" i="17"/>
  <c r="S249" i="30"/>
  <c r="J208" i="30"/>
  <c r="S207" i="30"/>
  <c r="O159" i="30"/>
  <c r="D210" i="30"/>
  <c r="S224" i="30"/>
  <c r="S222" i="30"/>
  <c r="S220" i="30"/>
  <c r="S219" i="30"/>
  <c r="S215" i="30"/>
  <c r="R112" i="30"/>
  <c r="F220" i="30"/>
  <c r="P113" i="30"/>
  <c r="D234" i="30"/>
  <c r="H220" i="30"/>
  <c r="P248" i="30"/>
  <c r="P215" i="30"/>
  <c r="P219" i="30"/>
  <c r="P224" i="30"/>
  <c r="P222" i="30"/>
  <c r="P220" i="30"/>
  <c r="O112" i="30"/>
  <c r="J233" i="30"/>
  <c r="R72" i="30"/>
  <c r="P231" i="30"/>
  <c r="Q70" i="30"/>
  <c r="H236" i="30"/>
  <c r="J244" i="30"/>
  <c r="R23" i="30"/>
  <c r="L237" i="30"/>
  <c r="H210" i="30"/>
  <c r="Q159" i="30"/>
  <c r="L248" i="30"/>
  <c r="S25" i="30"/>
  <c r="F212" i="30"/>
  <c r="P160" i="30"/>
  <c r="D212" i="30"/>
  <c r="O164" i="30"/>
  <c r="D213" i="30"/>
  <c r="J221" i="30"/>
  <c r="R117" i="30"/>
  <c r="L222" i="30"/>
  <c r="P118" i="30"/>
  <c r="F223" i="30"/>
  <c r="R236" i="30"/>
  <c r="R234" i="30"/>
  <c r="R232" i="30"/>
  <c r="R239" i="30"/>
  <c r="R231" i="30"/>
  <c r="Q67" i="30"/>
  <c r="F245" i="30"/>
  <c r="P27" i="30"/>
  <c r="D236" i="30"/>
  <c r="F211" i="30"/>
  <c r="P163" i="30"/>
  <c r="D221" i="30"/>
  <c r="O117" i="30"/>
  <c r="S234" i="30"/>
  <c r="S232" i="30"/>
  <c r="S236" i="30"/>
  <c r="S231" i="30"/>
  <c r="S239" i="30"/>
  <c r="R67" i="30"/>
  <c r="F248" i="30"/>
  <c r="D244" i="30"/>
  <c r="P239" i="30"/>
  <c r="H233" i="30"/>
  <c r="Q72" i="30"/>
  <c r="F236" i="30"/>
  <c r="P70" i="30"/>
  <c r="U34" i="30"/>
  <c r="H213" i="30"/>
  <c r="Q164" i="30"/>
  <c r="L233" i="30"/>
  <c r="P159" i="30"/>
  <c r="F210" i="30"/>
  <c r="H224" i="30"/>
  <c r="D211" i="30"/>
  <c r="O163" i="30"/>
  <c r="Q219" i="30"/>
  <c r="Q224" i="30"/>
  <c r="Q215" i="30"/>
  <c r="P112" i="30"/>
  <c r="Q220" i="30"/>
  <c r="Q222" i="30"/>
  <c r="D220" i="30"/>
  <c r="O113" i="30"/>
  <c r="O100" i="30"/>
  <c r="Q198" i="30"/>
  <c r="Q207" i="30"/>
  <c r="Q208" i="30"/>
  <c r="Q210" i="30"/>
  <c r="P157" i="30"/>
  <c r="Q203" i="30"/>
  <c r="T219" i="30"/>
  <c r="L210" i="30"/>
  <c r="F221" i="30"/>
  <c r="P117" i="30"/>
  <c r="S68" i="30"/>
  <c r="L232" i="30"/>
  <c r="P28" i="30"/>
  <c r="F247" i="30"/>
  <c r="D247" i="30"/>
  <c r="O28" i="30"/>
  <c r="H246" i="30"/>
  <c r="R248" i="30"/>
  <c r="D223" i="30"/>
  <c r="O118" i="30"/>
  <c r="R68" i="30"/>
  <c r="J232" i="30"/>
  <c r="H225" i="30"/>
  <c r="H235" i="30"/>
  <c r="Q73" i="30"/>
  <c r="S244" i="30"/>
  <c r="L249" i="30"/>
  <c r="S29" i="30"/>
  <c r="F234" i="30"/>
  <c r="P69" i="30"/>
  <c r="P210" i="30"/>
  <c r="Q158" i="30"/>
  <c r="H208" i="30"/>
  <c r="U48" i="30"/>
  <c r="Q244" i="30"/>
  <c r="F209" i="30"/>
  <c r="P162" i="30"/>
  <c r="T203" i="30"/>
  <c r="S157" i="30"/>
  <c r="T210" i="30"/>
  <c r="T207" i="30"/>
  <c r="T198" i="30"/>
  <c r="T208" i="30"/>
  <c r="D224" i="30"/>
  <c r="O115" i="30"/>
  <c r="J234" i="30"/>
  <c r="R69" i="30"/>
  <c r="P234" i="30"/>
  <c r="B247" i="30"/>
  <c r="B249" i="30"/>
  <c r="B245" i="30"/>
  <c r="O55" i="30"/>
  <c r="S162" i="30"/>
  <c r="L209" i="30"/>
  <c r="L213" i="30"/>
  <c r="U46" i="30"/>
  <c r="P203" i="30"/>
  <c r="D207" i="30" s="1"/>
  <c r="B211" i="30"/>
  <c r="B209" i="30"/>
  <c r="B213" i="30"/>
  <c r="L212" i="30"/>
  <c r="S160" i="30"/>
  <c r="D237" i="30"/>
  <c r="T220" i="30"/>
  <c r="B233" i="30"/>
  <c r="B237" i="30"/>
  <c r="B235" i="30"/>
  <c r="R224" i="30"/>
  <c r="R222" i="30"/>
  <c r="R219" i="30"/>
  <c r="R215" i="30"/>
  <c r="R220" i="30"/>
  <c r="Q112" i="30"/>
  <c r="F224" i="30"/>
  <c r="P115" i="30"/>
  <c r="S69" i="30"/>
  <c r="L234" i="30"/>
  <c r="D245" i="30"/>
  <c r="O27" i="30"/>
  <c r="U32" i="30" s="1"/>
  <c r="U26" i="30"/>
  <c r="R250" i="30"/>
  <c r="J235" i="30"/>
  <c r="R73" i="30"/>
  <c r="H222" i="30"/>
  <c r="H237" i="30"/>
  <c r="Q74" i="30"/>
  <c r="S246" i="30"/>
  <c r="F237" i="30"/>
  <c r="P74" i="30"/>
  <c r="F232" i="30"/>
  <c r="P207" i="30"/>
  <c r="Q163" i="30"/>
  <c r="H211" i="30"/>
  <c r="U36" i="30"/>
  <c r="L247" i="30"/>
  <c r="H223" i="30"/>
  <c r="Q118" i="30"/>
  <c r="F246" i="30"/>
  <c r="P24" i="30"/>
  <c r="T215" i="30"/>
  <c r="T232" i="30"/>
  <c r="T239" i="30"/>
  <c r="T231" i="30"/>
  <c r="T234" i="30"/>
  <c r="T236" i="30"/>
  <c r="S67" i="30"/>
  <c r="R246" i="30"/>
  <c r="J236" i="30"/>
  <c r="R70" i="30"/>
  <c r="P236" i="30"/>
  <c r="U42" i="30"/>
  <c r="L244" i="30"/>
  <c r="S23" i="30"/>
  <c r="F235" i="30"/>
  <c r="P73" i="30"/>
  <c r="U35" i="30"/>
  <c r="T222" i="30"/>
  <c r="F222" i="30"/>
  <c r="P114" i="30"/>
  <c r="T250" i="30"/>
  <c r="T248" i="30"/>
  <c r="T246" i="30"/>
  <c r="T249" i="30"/>
  <c r="T244" i="30"/>
  <c r="L243" i="30" s="1"/>
  <c r="S22" i="30"/>
  <c r="R244" i="30"/>
  <c r="H243" i="30" s="1"/>
  <c r="P232" i="30"/>
  <c r="H232" i="30"/>
  <c r="Q68" i="30"/>
  <c r="S248" i="30"/>
  <c r="B223" i="30"/>
  <c r="B221" i="30"/>
  <c r="B225" i="30"/>
  <c r="U37" i="30"/>
  <c r="R198" i="30"/>
  <c r="R207" i="30"/>
  <c r="R203" i="30"/>
  <c r="R210" i="30"/>
  <c r="Q157" i="30"/>
  <c r="R208" i="30"/>
  <c r="J247" i="30"/>
  <c r="R28" i="30"/>
  <c r="P164" i="30"/>
  <c r="F213" i="30"/>
  <c r="D208" i="30"/>
  <c r="O158" i="30"/>
  <c r="L236" i="30"/>
  <c r="S70" i="30"/>
  <c r="Q246" i="30"/>
  <c r="F233" i="30"/>
  <c r="P72" i="30"/>
  <c r="Q248" i="30"/>
  <c r="U29" i="30"/>
  <c r="U25" i="30"/>
  <c r="P249" i="30"/>
  <c r="H212" i="30"/>
  <c r="Q160" i="30"/>
  <c r="Q250" i="30"/>
  <c r="J212" i="30"/>
  <c r="R160" i="30"/>
  <c r="S198" i="30"/>
  <c r="S210" i="30"/>
  <c r="J220" i="30"/>
  <c r="R113" i="30"/>
  <c r="H221" i="30"/>
  <c r="Q117" i="30"/>
  <c r="J246" i="30"/>
  <c r="R24" i="30"/>
  <c r="S203" i="30"/>
  <c r="J210" i="30"/>
  <c r="T224" i="30"/>
  <c r="R118" i="30"/>
  <c r="J223" i="30"/>
  <c r="P119" i="30"/>
  <c r="F225" i="30"/>
  <c r="S24" i="30"/>
  <c r="L246" i="30"/>
  <c r="S208" i="30"/>
  <c r="P246" i="30"/>
  <c r="D243" i="30" s="1"/>
  <c r="D222" i="30"/>
  <c r="O114" i="30"/>
  <c r="Q236" i="30"/>
  <c r="Q234" i="30"/>
  <c r="Q232" i="30"/>
  <c r="Q239" i="30"/>
  <c r="Q231" i="30"/>
  <c r="P67" i="30"/>
  <c r="H234" i="30"/>
  <c r="Q69" i="30"/>
  <c r="S250" i="30"/>
  <c r="D232" i="30"/>
  <c r="P208" i="30"/>
  <c r="H209" i="30"/>
  <c r="Q162" i="30"/>
  <c r="L245" i="30"/>
  <c r="S27" i="30"/>
  <c r="F208" i="30"/>
  <c r="P158" i="30"/>
  <c r="J224" i="30"/>
  <c r="T77" i="9"/>
  <c r="T76" i="9"/>
  <c r="J207" i="30" l="1"/>
  <c r="L231" i="30"/>
  <c r="U38" i="30"/>
  <c r="F231" i="30"/>
  <c r="U23" i="30"/>
  <c r="U47" i="30"/>
  <c r="U24" i="30"/>
  <c r="L207" i="30"/>
  <c r="F243" i="30"/>
  <c r="U39" i="30"/>
  <c r="H231" i="30"/>
  <c r="U28" i="30"/>
  <c r="F207" i="30"/>
  <c r="F219" i="30"/>
  <c r="J231" i="30"/>
  <c r="J219" i="30"/>
  <c r="L219" i="30"/>
  <c r="U43" i="30"/>
  <c r="U50" i="30"/>
  <c r="U40" i="30"/>
  <c r="U52" i="30"/>
  <c r="U30" i="30"/>
  <c r="U49" i="30"/>
  <c r="D231" i="30"/>
  <c r="D219" i="30"/>
  <c r="U44" i="30"/>
  <c r="J243" i="30"/>
  <c r="U31" i="30"/>
  <c r="U45" i="30"/>
  <c r="U53" i="30"/>
  <c r="U22" i="30"/>
  <c r="U51" i="30"/>
  <c r="U27" i="30"/>
  <c r="H219" i="30"/>
  <c r="H207" i="30"/>
  <c r="U41" i="30"/>
  <c r="U33" i="30"/>
  <c r="N106" i="9"/>
  <c r="C9" i="21" l="1" a="1"/>
  <c r="C9" i="21" s="1"/>
  <c r="F9" i="21" a="1"/>
  <c r="F11" i="21" s="1"/>
  <c r="F26" i="21"/>
  <c r="C26" i="21" a="1"/>
  <c r="D26" i="21" s="1"/>
  <c r="D28" i="21" l="1"/>
  <c r="D21" i="21"/>
  <c r="F18" i="21"/>
  <c r="C16" i="21"/>
  <c r="F10" i="21"/>
  <c r="D31" i="21"/>
  <c r="C28" i="21"/>
  <c r="C21" i="21"/>
  <c r="D18" i="21"/>
  <c r="C13" i="21"/>
  <c r="D10" i="21"/>
  <c r="D30" i="21"/>
  <c r="D29" i="21"/>
  <c r="C26" i="21"/>
  <c r="C22" i="21"/>
  <c r="D19" i="21"/>
  <c r="F16" i="21"/>
  <c r="C14" i="21"/>
  <c r="D11" i="21"/>
  <c r="C29" i="21"/>
  <c r="F23" i="21"/>
  <c r="F21" i="21"/>
  <c r="C19" i="21"/>
  <c r="D16" i="21"/>
  <c r="F13" i="21"/>
  <c r="C11" i="21"/>
  <c r="F20" i="21"/>
  <c r="C18" i="21"/>
  <c r="D15" i="21"/>
  <c r="F12" i="21"/>
  <c r="C10" i="21"/>
  <c r="D27" i="21"/>
  <c r="C31" i="21"/>
  <c r="C27" i="21"/>
  <c r="C23" i="21"/>
  <c r="D20" i="21"/>
  <c r="F17" i="21"/>
  <c r="C15" i="21"/>
  <c r="D12" i="21"/>
  <c r="F9" i="21"/>
  <c r="F22" i="21"/>
  <c r="C20" i="21"/>
  <c r="D17" i="21"/>
  <c r="F14" i="21"/>
  <c r="C12" i="21"/>
  <c r="D9" i="21"/>
  <c r="D13" i="21"/>
  <c r="D23" i="21"/>
  <c r="F15" i="21"/>
  <c r="C30" i="21"/>
  <c r="D22" i="21"/>
  <c r="F19" i="21"/>
  <c r="C17" i="21"/>
  <c r="D14" i="21"/>
  <c r="B114" i="29" l="1"/>
  <c r="B113" i="29"/>
  <c r="B112" i="29"/>
  <c r="C122" i="29" s="1"/>
  <c r="B111" i="29"/>
  <c r="D9" i="29" s="1"/>
  <c r="B110" i="29"/>
  <c r="C120" i="29" s="1"/>
  <c r="B109" i="29"/>
  <c r="B121" i="29" s="1"/>
  <c r="B108" i="29"/>
  <c r="B107" i="29"/>
  <c r="B120" i="29" s="1"/>
  <c r="B106" i="29"/>
  <c r="B105" i="29"/>
  <c r="B104" i="29"/>
  <c r="M86" i="29"/>
  <c r="L86" i="29"/>
  <c r="G68" i="29"/>
  <c r="F68" i="29"/>
  <c r="E68" i="29"/>
  <c r="C66" i="29"/>
  <c r="C65" i="29"/>
  <c r="A65" i="29" s="1"/>
  <c r="C64" i="29"/>
  <c r="A64" i="29" s="1"/>
  <c r="C63" i="29"/>
  <c r="A63" i="29" s="1"/>
  <c r="C62" i="29"/>
  <c r="A62" i="29"/>
  <c r="W61" i="29"/>
  <c r="V61" i="29"/>
  <c r="C61" i="29"/>
  <c r="AA60" i="29"/>
  <c r="W60" i="29"/>
  <c r="V60" i="29"/>
  <c r="C60" i="29"/>
  <c r="H118" i="29" s="1"/>
  <c r="C59" i="29"/>
  <c r="C58" i="29"/>
  <c r="C57" i="29"/>
  <c r="A57" i="29" s="1"/>
  <c r="C56" i="29"/>
  <c r="C55" i="29"/>
  <c r="C52" i="29"/>
  <c r="C47" i="29"/>
  <c r="C46" i="29"/>
  <c r="F34" i="29"/>
  <c r="C33" i="29"/>
  <c r="A30" i="29"/>
  <c r="A29" i="29"/>
  <c r="H26" i="29"/>
  <c r="H25" i="29"/>
  <c r="H24" i="29"/>
  <c r="D18" i="29"/>
  <c r="D68" i="29" s="1"/>
  <c r="D17" i="29"/>
  <c r="D15" i="29"/>
  <c r="D13" i="29"/>
  <c r="F4" i="29"/>
  <c r="F3" i="29"/>
  <c r="E9" i="29" l="1"/>
  <c r="A68" i="29"/>
  <c r="A26" i="29" s="1"/>
  <c r="C48" i="29"/>
  <c r="E6" i="29"/>
  <c r="F5" i="29"/>
  <c r="F6" i="29" s="1"/>
  <c r="D6" i="29"/>
  <c r="F17" i="29"/>
  <c r="H27" i="29"/>
  <c r="O68" i="29" s="1"/>
  <c r="A67" i="29"/>
  <c r="AG115" i="29"/>
  <c r="Q67" i="29"/>
  <c r="Q68" i="29" s="1"/>
  <c r="C30" i="29" s="1"/>
  <c r="F115" i="29"/>
  <c r="B122" i="29"/>
  <c r="B123" i="29" s="1"/>
  <c r="F69" i="29"/>
  <c r="C22" i="29" s="1"/>
  <c r="C117" i="29"/>
  <c r="E7" i="29"/>
  <c r="D7" i="29"/>
  <c r="E67" i="29"/>
  <c r="AA67" i="29"/>
  <c r="N67" i="29"/>
  <c r="T115" i="29"/>
  <c r="O67" i="29"/>
  <c r="U115" i="29"/>
  <c r="P67" i="29"/>
  <c r="P68" i="29" s="1"/>
  <c r="C29" i="29" s="1"/>
  <c r="AD115" i="29"/>
  <c r="A56" i="29"/>
  <c r="A66" i="29" s="1"/>
  <c r="D67" i="29"/>
  <c r="L67" i="29"/>
  <c r="L68" i="29" s="1"/>
  <c r="T67" i="29"/>
  <c r="T68" i="29" s="1"/>
  <c r="C34" i="29" s="1"/>
  <c r="AB67" i="29"/>
  <c r="AB68" i="29" s="1"/>
  <c r="J115" i="29"/>
  <c r="R115" i="29"/>
  <c r="Z115" i="29"/>
  <c r="AH115" i="29"/>
  <c r="C119" i="29"/>
  <c r="C121" i="29"/>
  <c r="V67" i="29"/>
  <c r="V73" i="29" s="1"/>
  <c r="AJ115" i="29"/>
  <c r="W67" i="29"/>
  <c r="W73" i="29" s="1"/>
  <c r="M115" i="29"/>
  <c r="V115" i="29"/>
  <c r="I67" i="29"/>
  <c r="I68" i="29" s="1"/>
  <c r="A34" i="29"/>
  <c r="M67" i="29"/>
  <c r="M68" i="29" s="1"/>
  <c r="U67" i="29"/>
  <c r="U68" i="29" s="1"/>
  <c r="C35" i="29" s="1"/>
  <c r="C115" i="29"/>
  <c r="K115" i="29"/>
  <c r="S115" i="29"/>
  <c r="AA115" i="29"/>
  <c r="AI115" i="29"/>
  <c r="F67" i="29"/>
  <c r="L115" i="29"/>
  <c r="E115" i="29"/>
  <c r="AK115" i="29"/>
  <c r="A41" i="29" s="1"/>
  <c r="A31" i="29"/>
  <c r="A35" i="29"/>
  <c r="H67" i="29"/>
  <c r="H68" i="29" s="1"/>
  <c r="X67" i="29"/>
  <c r="X68" i="29" s="1"/>
  <c r="C38" i="29" s="1"/>
  <c r="N115" i="29"/>
  <c r="Y67" i="29"/>
  <c r="Y68" i="29" s="1"/>
  <c r="C39" i="29" s="1"/>
  <c r="G115" i="29"/>
  <c r="O115" i="29"/>
  <c r="W115" i="29"/>
  <c r="AE115" i="29"/>
  <c r="H117" i="29"/>
  <c r="J67" i="29"/>
  <c r="J68" i="29" s="1"/>
  <c r="R67" i="29"/>
  <c r="R68" i="29" s="1"/>
  <c r="C31" i="29" s="1"/>
  <c r="Z67" i="29"/>
  <c r="Z68" i="29" s="1"/>
  <c r="C40" i="29" s="1"/>
  <c r="H115" i="29"/>
  <c r="P115" i="29"/>
  <c r="X115" i="29"/>
  <c r="AF115" i="29"/>
  <c r="C118" i="29"/>
  <c r="S120" i="29"/>
  <c r="D115" i="29"/>
  <c r="AB115" i="29"/>
  <c r="G67" i="29"/>
  <c r="AC115" i="29"/>
  <c r="K67" i="29"/>
  <c r="K68" i="29" s="1"/>
  <c r="S67" i="29"/>
  <c r="S68" i="29" s="1"/>
  <c r="C32" i="29" s="1"/>
  <c r="I115" i="29"/>
  <c r="Q115" i="29"/>
  <c r="Y115" i="29"/>
  <c r="D10" i="29" l="1"/>
  <c r="A36" i="29" s="1"/>
  <c r="E10" i="29"/>
  <c r="V75" i="29"/>
  <c r="V72" i="29"/>
  <c r="W75" i="29"/>
  <c r="W72" i="29"/>
  <c r="N68" i="29"/>
  <c r="O69" i="29" s="1"/>
  <c r="C26" i="29" s="1"/>
  <c r="C123" i="29"/>
  <c r="H119" i="29" s="1"/>
  <c r="S119" i="29"/>
  <c r="T121" i="29" s="1"/>
  <c r="A32" i="29"/>
  <c r="AA68" i="29"/>
  <c r="C41" i="29"/>
  <c r="W68" i="29"/>
  <c r="W74" i="29"/>
  <c r="V68" i="29"/>
  <c r="V74" i="29"/>
  <c r="M69" i="29"/>
  <c r="C25" i="29" s="1"/>
  <c r="K69" i="29"/>
  <c r="C24" i="29" s="1"/>
  <c r="V76" i="29"/>
  <c r="W76" i="29"/>
  <c r="I69" i="29"/>
  <c r="C23" i="29" s="1"/>
  <c r="A38" i="29"/>
  <c r="A40" i="29"/>
  <c r="A39" i="29"/>
  <c r="A37" i="29" l="1"/>
  <c r="C124" i="29"/>
  <c r="A22" i="29"/>
  <c r="A23" i="29"/>
  <c r="A24" i="29"/>
  <c r="H120" i="29"/>
  <c r="I121" i="29" s="1"/>
  <c r="A25" i="29" s="1"/>
  <c r="A28" i="29"/>
  <c r="C27" i="29"/>
  <c r="C28" i="29" s="1"/>
  <c r="W77" i="29"/>
  <c r="C37" i="29" s="1"/>
  <c r="V77" i="29"/>
  <c r="C36" i="29" s="1"/>
  <c r="C43" i="29" l="1"/>
  <c r="J6" i="25"/>
  <c r="J8" i="25"/>
  <c r="O9" i="25"/>
  <c r="P9" i="25"/>
  <c r="Q9" i="25"/>
  <c r="Q14" i="25" s="1"/>
  <c r="J24" i="25" s="1"/>
  <c r="R9" i="25"/>
  <c r="S9" i="25"/>
  <c r="T9" i="25"/>
  <c r="T14" i="25" s="1"/>
  <c r="J34" i="25" s="1"/>
  <c r="U9" i="25"/>
  <c r="V9" i="25"/>
  <c r="W9" i="25"/>
  <c r="X9" i="25"/>
  <c r="Y9" i="25"/>
  <c r="Z9" i="25"/>
  <c r="AA9" i="25"/>
  <c r="AB9" i="25"/>
  <c r="J10" i="25"/>
  <c r="L10" i="25"/>
  <c r="O10" i="25"/>
  <c r="P10" i="25"/>
  <c r="Q10" i="25"/>
  <c r="R10" i="25"/>
  <c r="S10" i="25"/>
  <c r="U10" i="25"/>
  <c r="V10" i="25"/>
  <c r="W10" i="25"/>
  <c r="X10" i="25"/>
  <c r="Y10" i="25"/>
  <c r="AB10" i="25"/>
  <c r="O11" i="25"/>
  <c r="P11" i="25"/>
  <c r="S11" i="25"/>
  <c r="V11" i="25"/>
  <c r="W11" i="25"/>
  <c r="AB11" i="25"/>
  <c r="V12" i="25"/>
  <c r="AB12" i="25"/>
  <c r="J16" i="25"/>
  <c r="J18" i="25"/>
  <c r="J20" i="25"/>
  <c r="J22" i="25"/>
  <c r="J26" i="25"/>
  <c r="J30" i="25"/>
  <c r="J46" i="25"/>
  <c r="J48" i="25"/>
  <c r="J50" i="25"/>
  <c r="J52" i="25"/>
  <c r="J54" i="25"/>
  <c r="J56" i="25"/>
  <c r="J58" i="25"/>
  <c r="J66" i="25"/>
  <c r="J68" i="25"/>
  <c r="J70" i="25"/>
  <c r="J72" i="25"/>
  <c r="AB14" i="25" l="1"/>
  <c r="J74" i="25" s="1"/>
  <c r="X14" i="25"/>
  <c r="J44" i="25" s="1"/>
  <c r="U14" i="25"/>
  <c r="J36" i="25" s="1"/>
  <c r="S14" i="25"/>
  <c r="J32" i="25" s="1"/>
  <c r="R14" i="25"/>
  <c r="J28" i="25" s="1"/>
  <c r="W14" i="25"/>
  <c r="J40" i="25" s="1"/>
  <c r="Y14" i="25"/>
  <c r="J60" i="25" s="1"/>
  <c r="P14" i="25"/>
  <c r="J14" i="25" s="1"/>
  <c r="AA14" i="25"/>
  <c r="J64" i="25" s="1"/>
  <c r="V14" i="25"/>
  <c r="J38" i="25" s="1"/>
  <c r="Z14" i="25"/>
  <c r="J62" i="25" s="1"/>
  <c r="O14" i="25"/>
  <c r="J12" i="25" s="1"/>
  <c r="O2" i="21"/>
  <c r="O3" i="21"/>
  <c r="O4" i="21"/>
  <c r="O5" i="21"/>
  <c r="J76" i="25" l="1"/>
  <c r="O9" i="21"/>
  <c r="B123" i="9"/>
  <c r="B122" i="9"/>
  <c r="B121" i="9"/>
  <c r="B118" i="9"/>
  <c r="B114" i="9"/>
  <c r="B130" i="9"/>
  <c r="B129" i="9"/>
  <c r="B128" i="9"/>
  <c r="B127" i="9"/>
  <c r="B126" i="9"/>
  <c r="B125" i="9"/>
  <c r="B124" i="9"/>
  <c r="B117" i="9"/>
  <c r="B116" i="9"/>
  <c r="B105" i="9"/>
  <c r="B104" i="9"/>
  <c r="W54" i="9"/>
  <c r="B131" i="9" l="1"/>
  <c r="B103" i="9" s="1"/>
  <c r="B106" i="9" s="1"/>
  <c r="B107" i="9" s="1"/>
  <c r="C77" i="9" s="1"/>
  <c r="BB12" i="9" l="1"/>
  <c r="BB13" i="9"/>
  <c r="Q107" i="9"/>
  <c r="Q106" i="9"/>
  <c r="T107" i="9"/>
  <c r="T106" i="9"/>
  <c r="T105" i="9"/>
  <c r="T104" i="9"/>
  <c r="T103" i="9"/>
  <c r="T102" i="9"/>
  <c r="T101" i="9"/>
  <c r="T100" i="9"/>
  <c r="Q105" i="9"/>
  <c r="Q104" i="9"/>
  <c r="BB18" i="9"/>
  <c r="P128" i="9"/>
  <c r="P127" i="9"/>
  <c r="P136" i="9"/>
  <c r="P135" i="9"/>
  <c r="P134" i="9"/>
  <c r="P133" i="9"/>
  <c r="P132" i="9"/>
  <c r="P131" i="9"/>
  <c r="P130" i="9"/>
  <c r="P129" i="9"/>
  <c r="BC82" i="9"/>
  <c r="BC81" i="9" l="1"/>
  <c r="BC83" i="9"/>
  <c r="BC34" i="9"/>
  <c r="BB11" i="9"/>
  <c r="BB10" i="9"/>
  <c r="BB16" i="9"/>
  <c r="BB17" i="9"/>
  <c r="BB7" i="9"/>
  <c r="BB6" i="9"/>
  <c r="BB5" i="9"/>
  <c r="BC33" i="9"/>
  <c r="BB8" i="9"/>
  <c r="L74" i="9"/>
  <c r="L75" i="9"/>
  <c r="BC84" i="9" l="1"/>
  <c r="BC35" i="9"/>
  <c r="K20" i="9"/>
  <c r="AF60" i="9"/>
  <c r="K21" i="9"/>
  <c r="P104" i="9"/>
  <c r="K22" i="9"/>
  <c r="K23" i="9"/>
  <c r="F77" i="9"/>
  <c r="P105" i="9"/>
  <c r="K27" i="9"/>
  <c r="N14" i="9"/>
  <c r="BH28" i="9"/>
  <c r="BA1" i="9"/>
  <c r="BB3" i="9" l="1"/>
  <c r="BB4" i="9"/>
  <c r="BD67" i="9"/>
  <c r="BF67" i="9"/>
  <c r="T78" i="9"/>
  <c r="T75" i="9"/>
  <c r="T74" i="9"/>
  <c r="T73" i="9"/>
  <c r="T72" i="9"/>
  <c r="U53" i="9"/>
  <c r="U80" i="9" l="1"/>
  <c r="Q74" i="9" s="1"/>
  <c r="V80" i="9"/>
  <c r="Q75" i="9" s="1"/>
  <c r="BB88" i="9"/>
  <c r="BB89" i="9"/>
  <c r="BB87" i="9"/>
  <c r="BB76" i="9"/>
  <c r="BB64" i="9"/>
  <c r="BB65" i="9"/>
  <c r="BB66" i="9"/>
  <c r="BB67" i="9"/>
  <c r="BB68" i="9"/>
  <c r="BB69" i="9"/>
  <c r="BB70" i="9"/>
  <c r="BB71" i="9"/>
  <c r="BB72" i="9"/>
  <c r="BB73" i="9"/>
  <c r="BB74" i="9"/>
  <c r="BB75" i="9"/>
  <c r="BB63" i="9"/>
  <c r="BB62" i="9"/>
  <c r="A28" i="17"/>
  <c r="BA88" i="9" l="1"/>
  <c r="C38" i="17"/>
  <c r="C37" i="17"/>
  <c r="A38" i="17"/>
  <c r="BB28" i="9"/>
  <c r="BL68" i="9"/>
  <c r="BN70" i="9"/>
  <c r="Q77" i="9"/>
  <c r="Q76" i="9"/>
  <c r="P77" i="9"/>
  <c r="P76" i="9"/>
  <c r="P75" i="9"/>
  <c r="P74" i="9"/>
  <c r="Q129" i="9"/>
  <c r="Q134" i="9"/>
  <c r="Q136" i="9"/>
  <c r="Q132" i="9"/>
  <c r="C85" i="9"/>
  <c r="BC22" i="9" l="1"/>
  <c r="BB27" i="9"/>
  <c r="BB19" i="9"/>
  <c r="BB2" i="9"/>
  <c r="BB29" i="9" l="1"/>
  <c r="BB20" i="9" s="1"/>
  <c r="BA87" i="9" l="1"/>
  <c r="BA89" i="9"/>
  <c r="BA90" i="9" l="1"/>
  <c r="A42" i="17"/>
  <c r="C36" i="17"/>
  <c r="C28" i="17"/>
  <c r="C27" i="17"/>
  <c r="C25" i="17"/>
  <c r="C20" i="17"/>
  <c r="A37" i="17"/>
  <c r="A35" i="17"/>
  <c r="A34" i="17"/>
  <c r="A33" i="17"/>
  <c r="A32" i="17"/>
  <c r="A31" i="17"/>
  <c r="A30" i="17"/>
  <c r="A27" i="17"/>
  <c r="A26" i="17"/>
  <c r="A25" i="17"/>
  <c r="A24" i="17"/>
  <c r="A22" i="17"/>
  <c r="A21" i="17"/>
  <c r="A20" i="17"/>
  <c r="A1" i="17"/>
  <c r="B18" i="17"/>
  <c r="B16" i="17"/>
  <c r="B15" i="17"/>
  <c r="B3" i="17"/>
  <c r="BQ74" i="9" l="1"/>
  <c r="B8" i="9"/>
  <c r="AE135" i="9"/>
  <c r="AD134" i="9"/>
  <c r="AE134" i="9" s="1"/>
  <c r="AD133" i="9"/>
  <c r="AE133" i="9" s="1"/>
  <c r="T119" i="9"/>
  <c r="T118" i="9"/>
  <c r="T117" i="9"/>
  <c r="S116" i="9"/>
  <c r="S115" i="9"/>
  <c r="V97" i="9"/>
  <c r="V96" i="9"/>
  <c r="S97" i="9"/>
  <c r="U97" i="9" s="1"/>
  <c r="S96" i="9"/>
  <c r="U96" i="9" s="1"/>
  <c r="N107" i="9"/>
  <c r="Q3" i="9"/>
  <c r="C75" i="9"/>
  <c r="B28" i="17" s="1"/>
  <c r="Q2" i="9"/>
  <c r="Q1" i="9"/>
  <c r="C30" i="17"/>
  <c r="BB9" i="9"/>
  <c r="N94" i="9"/>
  <c r="K19" i="9"/>
  <c r="N93" i="9"/>
  <c r="K18" i="9"/>
  <c r="BK4" i="9"/>
  <c r="BM69" i="9"/>
  <c r="BO71" i="9"/>
  <c r="BP72" i="9"/>
  <c r="BA72" i="9" s="1"/>
  <c r="BC77" i="9"/>
  <c r="BC76" i="9"/>
  <c r="BC75" i="9"/>
  <c r="BB83" i="9"/>
  <c r="BB84" i="9"/>
  <c r="BB82" i="9"/>
  <c r="BH32" i="9"/>
  <c r="T120" i="9" l="1"/>
  <c r="Q133" i="9" s="1"/>
  <c r="S120" i="9"/>
  <c r="W97" i="9"/>
  <c r="BA73" i="9"/>
  <c r="BA74" i="9"/>
  <c r="BA71" i="9"/>
  <c r="BA69" i="9"/>
  <c r="BA68" i="9"/>
  <c r="BA75" i="9"/>
  <c r="BA70" i="9"/>
  <c r="BA76" i="9"/>
  <c r="N95" i="9"/>
  <c r="E81" i="9" s="1"/>
  <c r="AE136" i="9"/>
  <c r="C86" i="9" s="1"/>
  <c r="BB85" i="9"/>
  <c r="BK67" i="9" s="1"/>
  <c r="L76" i="9"/>
  <c r="L77" i="9" s="1"/>
  <c r="B35" i="17"/>
  <c r="C80" i="9"/>
  <c r="B33" i="17" s="1"/>
  <c r="C79" i="9"/>
  <c r="B32" i="17" s="1"/>
  <c r="B31" i="17"/>
  <c r="C71" i="9"/>
  <c r="B24" i="17" s="1"/>
  <c r="Q56" i="9"/>
  <c r="N50" i="9"/>
  <c r="N47" i="9"/>
  <c r="L56" i="9"/>
  <c r="F71" i="9"/>
  <c r="C24" i="17" s="1"/>
  <c r="BH27" i="9"/>
  <c r="BN22" i="9" s="1"/>
  <c r="BK7" i="9"/>
  <c r="BK6" i="9"/>
  <c r="BK5" i="9"/>
  <c r="BK2" i="9"/>
  <c r="BF65" i="9" l="1"/>
  <c r="BF64" i="9"/>
  <c r="BF62" i="9"/>
  <c r="BF63" i="9"/>
  <c r="BK63" i="9"/>
  <c r="BD64" i="9"/>
  <c r="BE62" i="9"/>
  <c r="BI62" i="9"/>
  <c r="BG62" i="9"/>
  <c r="BH62" i="9"/>
  <c r="BK62" i="9"/>
  <c r="BD62" i="9"/>
  <c r="BC62" i="9"/>
  <c r="U120" i="9"/>
  <c r="C84" i="9"/>
  <c r="N108" i="9"/>
  <c r="B30" i="17"/>
  <c r="BH29" i="9"/>
  <c r="BG22" i="9"/>
  <c r="BF22" i="9"/>
  <c r="BE22" i="9"/>
  <c r="BD22" i="9"/>
  <c r="BB15" i="9"/>
  <c r="BB14" i="9"/>
  <c r="B37" i="17" l="1"/>
  <c r="BH21" i="9"/>
  <c r="BD21" i="9"/>
  <c r="BD23" i="9" s="1"/>
  <c r="BN21" i="9"/>
  <c r="BE21" i="9"/>
  <c r="BI21" i="9"/>
  <c r="BF21" i="9"/>
  <c r="BF23" i="9" s="1"/>
  <c r="BM21" i="9"/>
  <c r="BJ21" i="9"/>
  <c r="BL21" i="9"/>
  <c r="BC21" i="9"/>
  <c r="BC23" i="9" s="1"/>
  <c r="BG21" i="9"/>
  <c r="BG23" i="9" s="1"/>
  <c r="BK21" i="9"/>
  <c r="BA67" i="9"/>
  <c r="B41" i="17"/>
  <c r="BA66" i="9"/>
  <c r="BH33" i="9"/>
  <c r="B36" i="17" l="1"/>
  <c r="BN23" i="9"/>
  <c r="BM22" i="9"/>
  <c r="BM23" i="9" s="1"/>
  <c r="BI22" i="9"/>
  <c r="BI23" i="9" s="1"/>
  <c r="BL22" i="9"/>
  <c r="BL23" i="9" s="1"/>
  <c r="BH22" i="9"/>
  <c r="BH23" i="9" s="1"/>
  <c r="BK22" i="9"/>
  <c r="BK23" i="9" s="1"/>
  <c r="BJ22" i="9"/>
  <c r="BJ23" i="9" s="1"/>
  <c r="E80" i="9" l="1"/>
  <c r="G95" i="9" l="1"/>
  <c r="BE23" i="9"/>
  <c r="L55" i="9"/>
  <c r="K56" i="9"/>
  <c r="K57" i="9"/>
  <c r="M57" i="9" l="1"/>
  <c r="C81" i="9" s="1"/>
  <c r="F70" i="9"/>
  <c r="C23" i="17" s="1"/>
  <c r="Q4" i="9"/>
  <c r="Q5" i="9"/>
  <c r="Q6" i="9"/>
  <c r="M7" i="9"/>
  <c r="Q16" i="9"/>
  <c r="Q17" i="9"/>
  <c r="K25" i="9"/>
  <c r="K26" i="9"/>
  <c r="K28" i="9"/>
  <c r="K29" i="9"/>
  <c r="Q36" i="9"/>
  <c r="U49" i="9"/>
  <c r="U50" i="9"/>
  <c r="U52" i="9"/>
  <c r="Q69" i="9"/>
  <c r="U70" i="9"/>
  <c r="Q84" i="9"/>
  <c r="U85" i="9"/>
  <c r="S86" i="9"/>
  <c r="U86" i="9" s="1"/>
  <c r="V86" i="9"/>
  <c r="S87" i="9"/>
  <c r="U87" i="9" s="1"/>
  <c r="V87" i="9"/>
  <c r="U88" i="9"/>
  <c r="V88" i="9"/>
  <c r="Q93" i="9"/>
  <c r="W96" i="9" s="1"/>
  <c r="U94" i="9"/>
  <c r="S95" i="9"/>
  <c r="U95" i="9" s="1"/>
  <c r="V95" i="9"/>
  <c r="B34" i="17" l="1"/>
  <c r="U38" i="9"/>
  <c r="W38" i="9" s="1"/>
  <c r="W53" i="9"/>
  <c r="W70" i="9"/>
  <c r="Q71" i="9" s="1"/>
  <c r="Q72" i="9" s="1"/>
  <c r="N32" i="9"/>
  <c r="W52" i="9"/>
  <c r="W50" i="9"/>
  <c r="W87" i="9"/>
  <c r="W88" i="9"/>
  <c r="W94" i="9"/>
  <c r="W49" i="9"/>
  <c r="W85" i="9"/>
  <c r="W86" i="9"/>
  <c r="U43" i="9"/>
  <c r="W43" i="9" s="1"/>
  <c r="BK65" i="9"/>
  <c r="Q18" i="9"/>
  <c r="W95" i="9"/>
  <c r="Q95" i="9" s="1"/>
  <c r="U47" i="9"/>
  <c r="W47" i="9" s="1"/>
  <c r="Q7" i="9"/>
  <c r="V107" i="9" l="1"/>
  <c r="Q43" i="9"/>
  <c r="P108" i="9" s="1"/>
  <c r="Q78" i="9"/>
  <c r="Q79" i="9" s="1"/>
  <c r="C73" i="9" s="1"/>
  <c r="E73" i="9" s="1"/>
  <c r="BE65" i="9"/>
  <c r="BE64" i="9"/>
  <c r="BG63" i="9"/>
  <c r="BG64" i="9"/>
  <c r="BG65" i="9"/>
  <c r="BE63" i="9"/>
  <c r="BD63" i="9"/>
  <c r="BI64" i="9"/>
  <c r="BI65" i="9"/>
  <c r="BK64" i="9"/>
  <c r="BI63" i="9"/>
  <c r="BH64" i="9"/>
  <c r="BH65" i="9"/>
  <c r="BH63" i="9"/>
  <c r="BC65" i="9"/>
  <c r="BD65" i="9"/>
  <c r="BC64" i="9"/>
  <c r="BC63" i="9"/>
  <c r="AF56" i="9"/>
  <c r="Q86" i="9"/>
  <c r="V105" i="9" l="1"/>
  <c r="V106" i="9"/>
  <c r="V108" i="9" s="1"/>
  <c r="R105" i="9" s="1"/>
  <c r="U107" i="9"/>
  <c r="U108" i="9" s="1"/>
  <c r="P106" i="9"/>
  <c r="P107" i="9"/>
  <c r="Q44" i="9"/>
  <c r="Q130" i="9" s="1"/>
  <c r="BA65" i="9"/>
  <c r="B26" i="17"/>
  <c r="BA62" i="9"/>
  <c r="BA64" i="9"/>
  <c r="BA61" i="9"/>
  <c r="BA63" i="9"/>
  <c r="W105" i="9"/>
  <c r="P102" i="9"/>
  <c r="AF55" i="9"/>
  <c r="B76" i="9"/>
  <c r="F78" i="9"/>
  <c r="E79" i="9"/>
  <c r="C32" i="17" s="1"/>
  <c r="R106" i="9" l="1"/>
  <c r="R104" i="9"/>
  <c r="R107" i="9"/>
  <c r="Q128" i="9"/>
  <c r="Q131" i="9"/>
  <c r="Q127" i="9"/>
  <c r="BA77" i="9"/>
  <c r="P109" i="9"/>
  <c r="Q135" i="9" s="1"/>
  <c r="C31" i="17"/>
  <c r="C26" i="17"/>
  <c r="A29" i="17"/>
  <c r="L50" i="9"/>
  <c r="Q137" i="9" l="1"/>
  <c r="C67" i="9" s="1"/>
  <c r="R108" i="9"/>
  <c r="P103" i="9" s="1"/>
  <c r="C72" i="9" s="1"/>
  <c r="B25" i="17" s="1"/>
  <c r="P121" i="9"/>
  <c r="C74" i="9"/>
  <c r="B27" i="17" s="1"/>
  <c r="C70" i="9" l="1"/>
  <c r="B23" i="17" s="1"/>
  <c r="C69" i="9"/>
  <c r="B20" i="17"/>
  <c r="C68" i="9"/>
  <c r="B29" i="17"/>
  <c r="B21" i="17" l="1"/>
  <c r="C87" i="9"/>
  <c r="B22" i="17"/>
  <c r="F69" i="9"/>
  <c r="C22" i="17" s="1"/>
  <c r="F68" i="9"/>
  <c r="C21" i="17" s="1"/>
  <c r="AF59" i="9"/>
  <c r="BA78" i="9"/>
  <c r="B36" i="9" s="1"/>
  <c r="B40" i="17" l="1"/>
  <c r="R214" i="9"/>
  <c r="R215" i="9" s="1"/>
</calcChain>
</file>

<file path=xl/comments1.xml><?xml version="1.0" encoding="utf-8"?>
<comments xmlns="http://schemas.openxmlformats.org/spreadsheetml/2006/main">
  <authors>
    <author>Leas</author>
  </authors>
  <commentList>
    <comment ref="B42" authorId="0">
      <text>
        <r>
          <rPr>
            <sz val="10"/>
            <color indexed="8"/>
            <rFont val="Arial Narrow"/>
            <family val="2"/>
          </rPr>
          <t>Sewer Permit required for Swimming Pools that are required to connect to Council sewer main</t>
        </r>
        <r>
          <rPr>
            <sz val="10"/>
            <color indexed="81"/>
            <rFont val="Arial Narrow"/>
            <family val="2"/>
          </rPr>
          <t xml:space="preserve">
</t>
        </r>
      </text>
    </comment>
    <comment ref="B58" authorId="0">
      <text>
        <r>
          <rPr>
            <sz val="10"/>
            <color indexed="81"/>
            <rFont val="Arial Narrow"/>
            <family val="2"/>
          </rPr>
          <t>Required for new dwellings on Rural Residential that do not have existing street numbering</t>
        </r>
      </text>
    </comment>
  </commentList>
</comments>
</file>

<file path=xl/sharedStrings.xml><?xml version="1.0" encoding="utf-8"?>
<sst xmlns="http://schemas.openxmlformats.org/spreadsheetml/2006/main" count="2658" uniqueCount="1693">
  <si>
    <t>Estimated Cost of Development:</t>
  </si>
  <si>
    <t>Min</t>
  </si>
  <si>
    <t>Max</t>
  </si>
  <si>
    <t>Use</t>
  </si>
  <si>
    <t>Cost Base</t>
  </si>
  <si>
    <t>Excess '000s</t>
  </si>
  <si>
    <t>Base</t>
  </si>
  <si>
    <t>Rate</t>
  </si>
  <si>
    <t>Development Application Fee</t>
  </si>
  <si>
    <t>Long Service Levy</t>
  </si>
  <si>
    <t>Advertising Fee</t>
  </si>
  <si>
    <t>Development Application Fee - DA:</t>
  </si>
  <si>
    <t>Development Application Fee - CC</t>
  </si>
  <si>
    <t>=VLOOKUP("YES",N$11:Q$20,4,FALSE)+(VLOOKUP("YES",N$11:R$20,5,FALSE)*VLOOKUP("YES",N$11:P$20,3,FALSE))</t>
  </si>
  <si>
    <t>Bushfire Affected</t>
  </si>
  <si>
    <t>Water</t>
  </si>
  <si>
    <t>Sewer</t>
  </si>
  <si>
    <t>Stormwater</t>
  </si>
  <si>
    <t>Install on-site sewage management</t>
  </si>
  <si>
    <t>Residential</t>
  </si>
  <si>
    <t>Commercial</t>
  </si>
  <si>
    <t>Demolition</t>
  </si>
  <si>
    <t>Yes</t>
  </si>
  <si>
    <t>No</t>
  </si>
  <si>
    <t>Plan First Fee (Planning NSW)</t>
  </si>
  <si>
    <t>Notification Required</t>
  </si>
  <si>
    <t>Advertising Required</t>
  </si>
  <si>
    <t>Subdivision (New Roads)</t>
  </si>
  <si>
    <t>Subdivision (No New Roads)</t>
  </si>
  <si>
    <t>Integrated Development</t>
  </si>
  <si>
    <t>No. Approval Bodies (Integrated)</t>
  </si>
  <si>
    <t>Strata Subdivision</t>
  </si>
  <si>
    <t>Notification Fee</t>
  </si>
  <si>
    <t>Integrated Development Fee</t>
  </si>
  <si>
    <t>Rainwater Tank (not exempt)</t>
  </si>
  <si>
    <t>TOTAL</t>
  </si>
  <si>
    <t>Advertising Structure Only (No Footing)</t>
  </si>
  <si>
    <t>Bushfire Assessment Fee</t>
  </si>
  <si>
    <t>Footing</t>
  </si>
  <si>
    <t>Frame</t>
  </si>
  <si>
    <t>Final</t>
  </si>
  <si>
    <t>U/F</t>
  </si>
  <si>
    <t>H&amp;C</t>
  </si>
  <si>
    <t>FS68</t>
  </si>
  <si>
    <t>DA - Residential Buildings (New/Alterations/Additions)</t>
  </si>
  <si>
    <t>DA - New Dwelling under $100,000 cost</t>
  </si>
  <si>
    <t>DA - Change of Use (No Building Works)</t>
  </si>
  <si>
    <t>DA - Demolition Only</t>
  </si>
  <si>
    <t>DA - Advertising Sign</t>
  </si>
  <si>
    <t>DA - Temporary Structures</t>
  </si>
  <si>
    <t>DA - Swimming Pool Only</t>
  </si>
  <si>
    <t>Designated Development</t>
  </si>
  <si>
    <t>Designated Development Additional Fee</t>
  </si>
  <si>
    <t>DA - Commercial</t>
  </si>
  <si>
    <t>DA - Subdivision</t>
  </si>
  <si>
    <t>N/A</t>
  </si>
  <si>
    <t>With New Roads</t>
  </si>
  <si>
    <t>With No New Roads</t>
  </si>
  <si>
    <t>With no New Roads</t>
  </si>
  <si>
    <t>A4/A3</t>
  </si>
  <si>
    <t>0-50</t>
  </si>
  <si>
    <t>&gt;50</t>
  </si>
  <si>
    <t>&gt;A3</t>
  </si>
  <si>
    <t>Scanning Fee</t>
  </si>
  <si>
    <t>Scanning Fees apply where electronic copy of application documents are not supplied</t>
  </si>
  <si>
    <t>Rural Addressing Required</t>
  </si>
  <si>
    <t>Name</t>
  </si>
  <si>
    <t>Company</t>
  </si>
  <si>
    <t>Contact Details</t>
  </si>
  <si>
    <t>email Address</t>
  </si>
  <si>
    <t>Address of Development</t>
  </si>
  <si>
    <t>Classification of Development</t>
  </si>
  <si>
    <t>Onsite Sewer Management System</t>
  </si>
  <si>
    <t>Estimated Cost of Work</t>
  </si>
  <si>
    <t>Description of Development</t>
  </si>
  <si>
    <t>Amount</t>
  </si>
  <si>
    <t>Comments</t>
  </si>
  <si>
    <t>Date Estimate Prepared</t>
  </si>
  <si>
    <t>Prepared By Council Officer</t>
  </si>
  <si>
    <t>Carolyn Tickle</t>
  </si>
  <si>
    <t>Kathy See-Kee</t>
  </si>
  <si>
    <t>Sam Lobsey</t>
  </si>
  <si>
    <t>Lea Sykes</t>
  </si>
  <si>
    <t>Lisa Ferguson</t>
  </si>
  <si>
    <t>Abbey Brooks</t>
  </si>
  <si>
    <t xml:space="preserve">TOTAL   </t>
  </si>
  <si>
    <t xml:space="preserve">Property Number </t>
  </si>
  <si>
    <t>Stack</t>
  </si>
  <si>
    <t>SELECT FOOTING INSPECTION IF ADVERTISING SIGN IS FREESTANDING AND REQUIRES CONCRETE FOOTING</t>
  </si>
  <si>
    <t>INSPECTIONS NOT REQUIRED FOR TEMPORARY STRUCTURES</t>
  </si>
  <si>
    <t>INSPECTION SELECTION NOT REQUIRED FOR COMMERCIAL WORK &gt;$250,000- BASE FEE APPLIES (SEE BELOW IN SUMMARY OF FEES)</t>
  </si>
  <si>
    <t>Fee Type (*GST INCLUDED)</t>
  </si>
  <si>
    <t xml:space="preserve">Occupation Certificate </t>
  </si>
  <si>
    <t>SELECT PLUMBING INSPECTIONS REQUIRED BELOW - NOTE: N/A = SELECTION NOT APPLICABLE</t>
  </si>
  <si>
    <t>SELECT REQUIRED PCA &amp; PLUMBING INSPECTIONS REQUIRED BELOW</t>
  </si>
  <si>
    <t>OSSM</t>
  </si>
  <si>
    <t>No of Inspections</t>
  </si>
  <si>
    <t xml:space="preserve">Connect to Council's Sewer  </t>
  </si>
  <si>
    <t xml:space="preserve">Connect to Council's Water  </t>
  </si>
  <si>
    <t xml:space="preserve">Connect to Council's Stormwater  </t>
  </si>
  <si>
    <t>Disclaimer</t>
  </si>
  <si>
    <t>Contact BPAD Consultant to complete an assessment then return to Council to lodge CDC (no additional fees applicable)</t>
  </si>
  <si>
    <t>GST / Component</t>
  </si>
  <si>
    <t>Variables!B1</t>
  </si>
  <si>
    <t>GST* Component</t>
  </si>
  <si>
    <t>Variables!B2</t>
  </si>
  <si>
    <t>GST % Amount</t>
  </si>
  <si>
    <t>Variables!B3</t>
  </si>
  <si>
    <t>Complying Development Certificates</t>
  </si>
  <si>
    <t>Base Fee</t>
  </si>
  <si>
    <t>Variables!B5</t>
  </si>
  <si>
    <t>Additional amount per $1000</t>
  </si>
  <si>
    <t>Variables!B6</t>
  </si>
  <si>
    <t>Variables!B7</t>
  </si>
  <si>
    <t>Change of Use</t>
  </si>
  <si>
    <t>Variables!B8</t>
  </si>
  <si>
    <t>Construction Certificates</t>
  </si>
  <si>
    <t>Variables!B11</t>
  </si>
  <si>
    <t>Variables!B12</t>
  </si>
  <si>
    <t>%increase 1st $5000</t>
  </si>
  <si>
    <t>Variables!B13</t>
  </si>
  <si>
    <t>%increase &gt;$5000 (to $95000)</t>
  </si>
  <si>
    <t>Variables!B14</t>
  </si>
  <si>
    <t>%increase &gt;$100000(to$150000)</t>
  </si>
  <si>
    <t>Variables!B15</t>
  </si>
  <si>
    <t>%increase&gt;$250000</t>
  </si>
  <si>
    <t>Variables!B16</t>
  </si>
  <si>
    <t>Base Fee  + Pro rata amount up to 100000</t>
  </si>
  <si>
    <t>Variables!B17</t>
  </si>
  <si>
    <t>Base Fee  + Pro rata amount up to 250000</t>
  </si>
  <si>
    <t>Variables!B18</t>
  </si>
  <si>
    <t>Base Fee  + Pro rata amount &gt; 250000</t>
  </si>
  <si>
    <t>Variables!B19</t>
  </si>
  <si>
    <t>CC - Combined PCA Fee Multiplier</t>
  </si>
  <si>
    <t>Variables!B21</t>
  </si>
  <si>
    <t>Development Applications</t>
  </si>
  <si>
    <t>Advertising Structures</t>
  </si>
  <si>
    <t>Variables!B24</t>
  </si>
  <si>
    <t>Rate per Additional Sign</t>
  </si>
  <si>
    <t>Variables!B25</t>
  </si>
  <si>
    <t>Dwellings&lt;$100000</t>
  </si>
  <si>
    <t>Variables!B27</t>
  </si>
  <si>
    <t>Building other than Dwelling &lt;$5000</t>
  </si>
  <si>
    <t>Variables!B28</t>
  </si>
  <si>
    <t>Dwelling &gt;$100000&lt;$250000</t>
  </si>
  <si>
    <t>Variables!B29</t>
  </si>
  <si>
    <t>Development,&lt;=$250000</t>
  </si>
  <si>
    <t>Variables!B30</t>
  </si>
  <si>
    <t>Variables!B31</t>
  </si>
  <si>
    <t>Development &gt;$250001&lt;$500000</t>
  </si>
  <si>
    <t>Variables!B32</t>
  </si>
  <si>
    <t>Additional amount per$1000 over $250000</t>
  </si>
  <si>
    <t>Variables!B33</t>
  </si>
  <si>
    <t>Development &gt;$500001&lt;$1000000</t>
  </si>
  <si>
    <t>Variables!B34</t>
  </si>
  <si>
    <t>Additional amount per$1000 over $500000</t>
  </si>
  <si>
    <t>Variables!B35</t>
  </si>
  <si>
    <t>Development &gt;$1000001&lt;$10000000</t>
  </si>
  <si>
    <t>Variables!B36</t>
  </si>
  <si>
    <t>Additional amount per$1000 over $1000000</t>
  </si>
  <si>
    <t>Variables!B37</t>
  </si>
  <si>
    <t>Development more than $10000000</t>
  </si>
  <si>
    <t>Variables!B38</t>
  </si>
  <si>
    <t>Variables!B39</t>
  </si>
  <si>
    <t>Subdivision - New Road Base Fee</t>
  </si>
  <si>
    <t>Variables!B40</t>
  </si>
  <si>
    <t>Subdivision - New Road Per additional lot</t>
  </si>
  <si>
    <t>Variables!B41</t>
  </si>
  <si>
    <t>Subdivision - No New Road Base Fee</t>
  </si>
  <si>
    <t>Variables!B42</t>
  </si>
  <si>
    <t>Subdivision - No New Road per additional lot</t>
  </si>
  <si>
    <t>Variables!B43</t>
  </si>
  <si>
    <t>Strata Subdivision - Base Fee</t>
  </si>
  <si>
    <t>Variables!B44</t>
  </si>
  <si>
    <t>Strata Subdivision - per additional lot</t>
  </si>
  <si>
    <t>Variables!B45</t>
  </si>
  <si>
    <t>Variables!B46</t>
  </si>
  <si>
    <t>Rainwater Tank Inspection Fee</t>
  </si>
  <si>
    <t>Variables!B47</t>
  </si>
  <si>
    <t>Designated Development Additional Standard Fee</t>
  </si>
  <si>
    <t>Variables!B49</t>
  </si>
  <si>
    <t>Variables!B51</t>
  </si>
  <si>
    <t>Temporary Structure</t>
  </si>
  <si>
    <t>Variables!B52</t>
  </si>
  <si>
    <t>Variables!B53</t>
  </si>
  <si>
    <t>Integrated Development Additional Fee per Approval Body</t>
  </si>
  <si>
    <t>Variables!B55</t>
  </si>
  <si>
    <t>Designated Development Exhibition Fee</t>
  </si>
  <si>
    <t>Variables!B56</t>
  </si>
  <si>
    <t>Advertising (newspaper)</t>
  </si>
  <si>
    <t>Variables!B57</t>
  </si>
  <si>
    <t>Adjoining owners</t>
  </si>
  <si>
    <t>Variables!B58</t>
  </si>
  <si>
    <t>DCP Variation</t>
  </si>
  <si>
    <t>Modifications</t>
  </si>
  <si>
    <t>Minor Mod (Minor error)</t>
  </si>
  <si>
    <t>Variables!B61</t>
  </si>
  <si>
    <t>Minor Mod (Minimal Impact)</t>
  </si>
  <si>
    <t>Variables!B63</t>
  </si>
  <si>
    <t>% of original fee</t>
  </si>
  <si>
    <t>Variables!B64</t>
  </si>
  <si>
    <t>Mod Class 1&amp;10 &lt;55sq m</t>
  </si>
  <si>
    <t>Variables!B66</t>
  </si>
  <si>
    <t>estimated cost &lt;$300000</t>
  </si>
  <si>
    <t>Variables!B67</t>
  </si>
  <si>
    <t>estimated cost &gt;$300000</t>
  </si>
  <si>
    <t>Variables!B68</t>
  </si>
  <si>
    <t>Other Modifications</t>
  </si>
  <si>
    <t>% of original fee &lt;$100</t>
  </si>
  <si>
    <t>Variables!B71</t>
  </si>
  <si>
    <t>% of original fee- No building Works</t>
  </si>
  <si>
    <t>Variables!B72</t>
  </si>
  <si>
    <t>New Dwelling Est Cost &lt;$100000</t>
  </si>
  <si>
    <t>Variables!B73</t>
  </si>
  <si>
    <t>New Dwelling &gt;$100000&lt;250000</t>
  </si>
  <si>
    <t>Variables!B74</t>
  </si>
  <si>
    <t>Variables!B75</t>
  </si>
  <si>
    <t>Variables!B76</t>
  </si>
  <si>
    <t>Variables!B77</t>
  </si>
  <si>
    <t>Variables!B78</t>
  </si>
  <si>
    <t>Variables!B79</t>
  </si>
  <si>
    <t>Variables!B80</t>
  </si>
  <si>
    <t>Variables!B81</t>
  </si>
  <si>
    <t>Variables!B82</t>
  </si>
  <si>
    <t>Variables!B83</t>
  </si>
  <si>
    <t>Variables!B84</t>
  </si>
  <si>
    <t>Variables!B85</t>
  </si>
  <si>
    <t>Residential Flat Development Additional Fee</t>
  </si>
  <si>
    <t>Variables!B86</t>
  </si>
  <si>
    <t>CC &amp; CDC Amendments % of Original Fee</t>
  </si>
  <si>
    <t>Variables!B87</t>
  </si>
  <si>
    <t>Inspection Fee</t>
  </si>
  <si>
    <t xml:space="preserve">Class 1-10 </t>
  </si>
  <si>
    <t>Variables!B89</t>
  </si>
  <si>
    <t>Class 1-10 Discounted</t>
  </si>
  <si>
    <t>Variables!B90</t>
  </si>
  <si>
    <t>Class 2-9&lt;$250000 per inpection</t>
  </si>
  <si>
    <t>Variables!B91</t>
  </si>
  <si>
    <t>Class 2-9 &gt;=$1000000 Base Fee</t>
  </si>
  <si>
    <t>Variables!B92</t>
  </si>
  <si>
    <t>Class 2-9 &gt;=$250000&lt;$1000000 Base Fee</t>
  </si>
  <si>
    <t>Variables!B93</t>
  </si>
  <si>
    <t xml:space="preserve">After 7th Inpection </t>
  </si>
  <si>
    <t>Variables!B94</t>
  </si>
  <si>
    <t>Commercial Estimated Cost Base for Major Work</t>
  </si>
  <si>
    <t>Variables!B95</t>
  </si>
  <si>
    <t>Variables!B96</t>
  </si>
  <si>
    <t>Variables!B99</t>
  </si>
  <si>
    <t>Variables!B100</t>
  </si>
  <si>
    <t>Variables!B101</t>
  </si>
  <si>
    <t>Variables!B102</t>
  </si>
  <si>
    <t>OSSM Non-residential</t>
  </si>
  <si>
    <t>Variables!B103</t>
  </si>
  <si>
    <t>Archive fee</t>
  </si>
  <si>
    <t>Variables!B104</t>
  </si>
  <si>
    <t>GST</t>
  </si>
  <si>
    <t>Variables!B105</t>
  </si>
  <si>
    <t>Long Service Fee</t>
  </si>
  <si>
    <t>Building Work &gt;$25000 % of Est Cost</t>
  </si>
  <si>
    <t>Variables!B107</t>
  </si>
  <si>
    <t>Plan 1st</t>
  </si>
  <si>
    <t>EstCost &gt;=$50000 % per $1000 over $50000</t>
  </si>
  <si>
    <t>Variables!B110</t>
  </si>
  <si>
    <t>Scanning Fees</t>
  </si>
  <si>
    <t>A4/A3 0-50</t>
  </si>
  <si>
    <t>Variables!B113</t>
  </si>
  <si>
    <t>A4/A3&gt;50</t>
  </si>
  <si>
    <t>Variables!B114</t>
  </si>
  <si>
    <t>Variables!B115</t>
  </si>
  <si>
    <t>Variables!B116</t>
  </si>
  <si>
    <t>Rural Addressing Fee</t>
  </si>
  <si>
    <t>Variables!B117</t>
  </si>
  <si>
    <t>Strata Inspection Fee</t>
  </si>
  <si>
    <t>Variables!B118</t>
  </si>
  <si>
    <t>Commercial Occupation Certificate</t>
  </si>
  <si>
    <t>Variables!B119</t>
  </si>
  <si>
    <t>Long Service Levy Base Amount</t>
  </si>
  <si>
    <t>Variables!B120</t>
  </si>
  <si>
    <t>Variables!B121</t>
  </si>
  <si>
    <t>Variables!B122</t>
  </si>
  <si>
    <t>CDC - Complying Development Residential</t>
  </si>
  <si>
    <t>CDC - Complying Development Commercial</t>
  </si>
  <si>
    <t/>
  </si>
  <si>
    <t>DA - New Dual/Multi Occupancy Dwellings</t>
  </si>
  <si>
    <t>No. of Dwellings (If Dual/Multi Occupancy)</t>
  </si>
  <si>
    <t>Variables!E2</t>
  </si>
  <si>
    <t>Variables!E3</t>
  </si>
  <si>
    <t>Variables!E4</t>
  </si>
  <si>
    <t>Variables!E5</t>
  </si>
  <si>
    <t>Variables!E6</t>
  </si>
  <si>
    <t>Variables!E7</t>
  </si>
  <si>
    <t>Variables!E8</t>
  </si>
  <si>
    <t>Variables!E9</t>
  </si>
  <si>
    <t>Variables!E10</t>
  </si>
  <si>
    <t>Variables!E11</t>
  </si>
  <si>
    <t>Variables!E12</t>
  </si>
  <si>
    <t>Variables!E13</t>
  </si>
  <si>
    <t>Variables!H2</t>
  </si>
  <si>
    <t>Variables!H3</t>
  </si>
  <si>
    <t>Variables!H4</t>
  </si>
  <si>
    <t>Variables!K2</t>
  </si>
  <si>
    <t>Variables!O2</t>
  </si>
  <si>
    <t>Variables!O3</t>
  </si>
  <si>
    <t>Variables!O4</t>
  </si>
  <si>
    <t>Variables!O5</t>
  </si>
  <si>
    <t>Variables!O6</t>
  </si>
  <si>
    <t>Variables!O7</t>
  </si>
  <si>
    <t>Variables!O8</t>
  </si>
  <si>
    <t>Variables!O9</t>
  </si>
  <si>
    <t>Variables!O10</t>
  </si>
  <si>
    <t>Variables!Q1</t>
  </si>
  <si>
    <t>Variables!Q3</t>
  </si>
  <si>
    <t>Relocatable Dwellings</t>
  </si>
  <si>
    <t>Variables!B98</t>
  </si>
  <si>
    <t>Variables!E14</t>
  </si>
  <si>
    <t>S68 - Relocatable/Transportable Dwelling (Permit Only)</t>
  </si>
  <si>
    <t>INSPECTIONS NOT REQUIRED FOR RELOCATABLE HOMES (PERMIT ONLY)</t>
  </si>
  <si>
    <t>Relocatable Homes</t>
  </si>
  <si>
    <t>Variables!E15</t>
  </si>
  <si>
    <t>Variables!H5</t>
  </si>
  <si>
    <t>Variables!K3</t>
  </si>
  <si>
    <t>Variables!O11</t>
  </si>
  <si>
    <t>Section 68 Permits</t>
  </si>
  <si>
    <t>Road Act Fee</t>
  </si>
  <si>
    <t>Variables!B123</t>
  </si>
  <si>
    <t>Section 138 Road Act Permit</t>
  </si>
  <si>
    <t>CDC - Demolition Only</t>
  </si>
  <si>
    <t>CDC - Change of Use Only</t>
  </si>
  <si>
    <t>Variables!E16</t>
  </si>
  <si>
    <t>Variables!E17</t>
  </si>
  <si>
    <t>SELECT REQUIRED PCA &amp; PLUMBING INSPECTIONS BELOW - NOTE: N/A = SELECTION NOT APPLICABLE</t>
  </si>
  <si>
    <t>**Plumbing Inspections Require Applicable Permits (see above)</t>
  </si>
  <si>
    <t>**Plumbing Inspections  (N/A = No Selection Required)</t>
  </si>
  <si>
    <r>
      <t xml:space="preserve">**Plumbing Inspections </t>
    </r>
    <r>
      <rPr>
        <u/>
        <sz val="9"/>
        <color theme="1" tint="4.9989318521683403E-2"/>
        <rFont val="Calibri"/>
        <family val="2"/>
        <scheme val="minor"/>
      </rPr>
      <t>NOT</t>
    </r>
    <r>
      <rPr>
        <sz val="9"/>
        <color theme="1" tint="4.9989318521683403E-2"/>
        <rFont val="Calibri"/>
        <family val="2"/>
        <scheme val="minor"/>
      </rPr>
      <t xml:space="preserve"> Required</t>
    </r>
  </si>
  <si>
    <t>Variables!T1</t>
  </si>
  <si>
    <t>Variables!T2</t>
  </si>
  <si>
    <t>Variables!T3</t>
  </si>
  <si>
    <t>Variables!T4</t>
  </si>
  <si>
    <t>Variables!T5</t>
  </si>
  <si>
    <t>Variables!T6</t>
  </si>
  <si>
    <t>Variables!T7</t>
  </si>
  <si>
    <t>Variables!T8</t>
  </si>
  <si>
    <t>Variables!T9</t>
  </si>
  <si>
    <t>Variables!T10</t>
  </si>
  <si>
    <t>Variables!T11</t>
  </si>
  <si>
    <t>Variables!T12</t>
  </si>
  <si>
    <t>Variables!T13</t>
  </si>
  <si>
    <t>Variables!T14</t>
  </si>
  <si>
    <t>Variables!T15</t>
  </si>
  <si>
    <t>Variables!V1</t>
  </si>
  <si>
    <t>Variables!V2</t>
  </si>
  <si>
    <t>Variables!V3</t>
  </si>
  <si>
    <t>Variables!Y1</t>
  </si>
  <si>
    <t>Footing/Slab</t>
  </si>
  <si>
    <t>Slab Fees Not Included' Disclaimer Description</t>
  </si>
  <si>
    <t>Wet Area/Flashing</t>
  </si>
  <si>
    <t>Swimming Pool Steel/Coping</t>
  </si>
  <si>
    <t>Final/Occupation</t>
  </si>
  <si>
    <t>Underfloor/Internal Sewer</t>
  </si>
  <si>
    <t>External Sewer</t>
  </si>
  <si>
    <t>Hot &amp; Cold Water Service</t>
  </si>
  <si>
    <t>Stackwork</t>
  </si>
  <si>
    <t>Septic Installation/Upgrade Inspection</t>
  </si>
  <si>
    <t>Final Plumbing</t>
  </si>
  <si>
    <t>Variables!AB1</t>
  </si>
  <si>
    <t>Variables!AB2</t>
  </si>
  <si>
    <t>Variables!AB3</t>
  </si>
  <si>
    <t>Variables!AB4</t>
  </si>
  <si>
    <t>Variables!AB5</t>
  </si>
  <si>
    <t>Variables!AB6</t>
  </si>
  <si>
    <t>Variables!AB7</t>
  </si>
  <si>
    <t>Variables!AB8</t>
  </si>
  <si>
    <t>Variables!AB9</t>
  </si>
  <si>
    <t>Variables!AB10</t>
  </si>
  <si>
    <t>Variables!AB11</t>
  </si>
  <si>
    <t>Variables!AB12</t>
  </si>
  <si>
    <t>Variables!AE1</t>
  </si>
  <si>
    <t>Variables!AE2</t>
  </si>
  <si>
    <t>Louisa Agyare</t>
  </si>
  <si>
    <t>Variables!O12</t>
  </si>
  <si>
    <t>&lt;$20,000</t>
  </si>
  <si>
    <t>&gt;$20,000&lt;$50,000 Base Fee</t>
  </si>
  <si>
    <t>&lt;$5,000</t>
  </si>
  <si>
    <t>&gt;$5,000&lt;$20,000</t>
  </si>
  <si>
    <t>&gt;$20,000&lt;$50,000</t>
  </si>
  <si>
    <t>&gt;$50,000&lt;$100,000</t>
  </si>
  <si>
    <t>&gt;$100,000&lt;$250,000</t>
  </si>
  <si>
    <t>&gt;$250,000&lt;$500,000</t>
  </si>
  <si>
    <t>Variables!E18</t>
  </si>
  <si>
    <t>CC - Construction Certificate Residential Only</t>
  </si>
  <si>
    <t>CC - Construction Certificate Commercial Only</t>
  </si>
  <si>
    <t>&gt;$500,000&lt;$1000000</t>
  </si>
  <si>
    <t>&gt;$1000000</t>
  </si>
  <si>
    <t>&gt;$250,000&lt;$400,000</t>
  </si>
  <si>
    <t>&gt;$400,000&lt;$500000</t>
  </si>
  <si>
    <t>&gt;$500000</t>
  </si>
  <si>
    <t>Administration Fee</t>
  </si>
  <si>
    <t>Payable on lodgement for value &gt;$25,000 - Form to be completed</t>
  </si>
  <si>
    <t>Long Service Leave Levy</t>
  </si>
  <si>
    <t>May be lodged as additional information where applicable (anything with walls and roof).  In some cases the details may already be included on the plans</t>
  </si>
  <si>
    <t>Builder's Home Owner Warranty or Owner Builder's Permit</t>
  </si>
  <si>
    <t>Tie Down &amp; Bracing Drawings</t>
  </si>
  <si>
    <t>Have all applicable fees been paid?</t>
  </si>
  <si>
    <t>All applicable fees must be paid at lodgement</t>
  </si>
  <si>
    <t>Fees</t>
  </si>
  <si>
    <t>Specifications</t>
  </si>
  <si>
    <t>Required form completed</t>
  </si>
  <si>
    <t>Payable on lodgement of CDC for value greater than $25,000 - Form to be completed</t>
  </si>
  <si>
    <t>For Industrial/Commercial applications.  May be lodged as additional information</t>
  </si>
  <si>
    <t>BCA Section J Report</t>
  </si>
  <si>
    <t>This information may not be available on lodgement of the CC, however, inspections will not commence until they are lodged</t>
  </si>
  <si>
    <t>May be lodged as additional information</t>
  </si>
  <si>
    <t>Engineer's Structural Drawings</t>
  </si>
  <si>
    <t>Details MUST be available on lodgement of the CC where applicable (any development with walls and roof) In some cases the details may already be included on the plans submitted</t>
  </si>
  <si>
    <t>Specifications MUST be available on lodgement of the CC</t>
  </si>
  <si>
    <t>Payable on lodgement of DA for works greater than $50,000.  Complete applicable from</t>
  </si>
  <si>
    <t>Plan First</t>
  </si>
  <si>
    <t>These drawings MUST be available on lodgement of the CC</t>
  </si>
  <si>
    <t>Engineers structural Drawings</t>
  </si>
  <si>
    <t xml:space="preserve">Payable on lodgement of DA for works greater than $50,000.  </t>
  </si>
  <si>
    <t>Removeable Dwelling</t>
  </si>
  <si>
    <t>Rural Addressing fee to be raised</t>
  </si>
  <si>
    <t>Complete application from for new homes in rural areas</t>
  </si>
  <si>
    <t>Rural Addressing</t>
  </si>
  <si>
    <t>If available, include and identify the original stamped DA approved BASIX certificate for dwellings.</t>
  </si>
  <si>
    <t>BASIX</t>
  </si>
  <si>
    <t>Separate LG (not child process) - DO NOT INCLUDE WITH DA</t>
  </si>
  <si>
    <t>Trade Waste</t>
  </si>
  <si>
    <t>Check with Planners for additional requirements.
Ensure integrated fees are raised in conjuntion with DA Application Fee</t>
  </si>
  <si>
    <t xml:space="preserve">An integrated application incorporates approvals from other authorities (eg Fisheries/National Parks)
Each approval authority requires a separate cheque in the amount of $320 </t>
  </si>
  <si>
    <t>Check GIS</t>
  </si>
  <si>
    <t>Is the land Heritage Conservation Area?</t>
  </si>
  <si>
    <t>Heritage</t>
  </si>
  <si>
    <t>Application for Caravan Park/Camping Ground Approval</t>
  </si>
  <si>
    <t>Temporary Camping Permit</t>
  </si>
  <si>
    <t>If required, advertising fee to be raised</t>
  </si>
  <si>
    <t>To allow consultation with the wider community concerning major proposals (Check Council's Advertising and Notification Guidelines).</t>
  </si>
  <si>
    <t>Advertising</t>
  </si>
  <si>
    <t>Is the land bushfire affected</t>
  </si>
  <si>
    <t>Bushfire</t>
  </si>
  <si>
    <t>Attachment 1C required - ensure completion</t>
  </si>
  <si>
    <t>OSSM Permit</t>
  </si>
  <si>
    <t>If required, notification fee to be raised</t>
  </si>
  <si>
    <t>To allow adjoingin owners to make submission concerning the proposed development  (Check Council's Advertising and Notification Guidelines).</t>
  </si>
  <si>
    <t>Notification</t>
  </si>
  <si>
    <t>Check GIS
Check with Building Certification Team</t>
  </si>
  <si>
    <t>Is the land flood prone.  If yes, does the work involve the erection of a new dwelling or alterations to a new dwelling</t>
  </si>
  <si>
    <t>Flooding</t>
  </si>
  <si>
    <t>A BCA Section J report must be included for industrial/commercial applications</t>
  </si>
  <si>
    <t>Attachment 1B required - ensure completion</t>
  </si>
  <si>
    <t>Stormwater Permit</t>
  </si>
  <si>
    <t>SOEE MUST BE lodged with DA.  It provides Council with a detailed description of the proposal.
IT IS NOT required for internal commercial alterations or development associated with a single dwelling.
IT IS required for Dual Occupancies</t>
  </si>
  <si>
    <t>Statement of Environmental Effects (SOEE)</t>
  </si>
  <si>
    <t>Is the development in one of the following permissible zones: R1, R4, RU5, RU1, RU2, RU3, RU4, R5.
If not, the zone does not permit the type of development under SEPP Code</t>
  </si>
  <si>
    <t>Zone (Residential Only)
Commercial (seek further advice)</t>
  </si>
  <si>
    <t>Sewerage Permit</t>
  </si>
  <si>
    <t>Check date of Issue
Check Lot and DP</t>
  </si>
  <si>
    <t>BASIX Certificate MUST BE included and identified on the plans for all dwellings, as well as alterations and additions valued at $50,000 or more, or swimming pools with a capacity greater than 40,000 litres.
Date of issue is to be within 3 months of the date of lodgement.</t>
  </si>
  <si>
    <t>Check NSW Housing Code Booklets</t>
  </si>
  <si>
    <t>Setbacks</t>
  </si>
  <si>
    <t>The application is to include a copy of the DA consent</t>
  </si>
  <si>
    <t>Development Consent</t>
  </si>
  <si>
    <t>Water Permit</t>
  </si>
  <si>
    <t>Check GIS
BushAssessFee applicable with Self Assessment Report
BushAssessFee not applicable if BPAD report included</t>
  </si>
  <si>
    <t xml:space="preserve">Is the property within bushfire affected land?  If yes, is self assessment, BAL Certificate or BPAD report includedSelf assessment report completed by owner/applicant must be included.  (Refer RFS to obtain report).
If self assessment and/or BAL Certificate determine that the property is in a high hazard category (BAL = 40 or BAL FZ, then a BPAD report is required to be submitted with the application.
</t>
  </si>
  <si>
    <t>Bushfire Affected Land</t>
  </si>
  <si>
    <t>Certificate of Title must be included.  This can be obtained from the LPI Shop Online.  If the land is subject to a required easement - a title diagram for the lot and any adjoining lot that benefits from the easement must be attached.  Can be purchased from the LPI Shop Online.</t>
  </si>
  <si>
    <t>Certificate of Title
Title search from LPI and Deposited Plan is applicable</t>
  </si>
  <si>
    <t>The applicant for a construction certificate MUST BE he owner of the land or the person's having direct benefit from the consent of the development (eg the lessee can be the applicant subject to evidence (lease agreement)</t>
  </si>
  <si>
    <t>Applicant's Details</t>
  </si>
  <si>
    <t>Office Use Only</t>
  </si>
  <si>
    <t>Description</t>
  </si>
  <si>
    <t>Item</t>
  </si>
  <si>
    <t>Select</t>
  </si>
  <si>
    <t>Section 68 Required?</t>
  </si>
  <si>
    <t>Checked</t>
  </si>
  <si>
    <t>Notification Checklist</t>
  </si>
  <si>
    <t>Select Application Type</t>
  </si>
  <si>
    <t>Application Type?</t>
  </si>
  <si>
    <t>Subdivision Certificate</t>
  </si>
  <si>
    <t>DA Modification</t>
  </si>
  <si>
    <t>All questions on the application form MUST BE completed</t>
  </si>
  <si>
    <t>Application Complete</t>
  </si>
  <si>
    <t>Combined Development/Construction Certificate</t>
  </si>
  <si>
    <t>Plans to be provided in electronic form.  Must include site plan, floor plan, elevations</t>
  </si>
  <si>
    <t>Satisfactory Plans</t>
  </si>
  <si>
    <t>Complying Development Certificate</t>
  </si>
  <si>
    <t>Check P&amp;R and identify property owners names.  Compare to application</t>
  </si>
  <si>
    <t>All owners must consent to lodgement of the application.</t>
  </si>
  <si>
    <t>Owner's Consent</t>
  </si>
  <si>
    <t>Construction Certificate</t>
  </si>
  <si>
    <t>Check and Verify the property details are correct</t>
  </si>
  <si>
    <t>Property Number</t>
  </si>
  <si>
    <t>Development Application</t>
  </si>
  <si>
    <t>Office Use</t>
  </si>
  <si>
    <t>Public Health Act Improve Notice &amp; Order Regulated</t>
  </si>
  <si>
    <t>PHA_IN&amp;POR</t>
  </si>
  <si>
    <t>Plus</t>
  </si>
  <si>
    <t>Public Health Act Improve Notice &amp; Order - Other</t>
  </si>
  <si>
    <t>PHA_IN&amp;PO</t>
  </si>
  <si>
    <t>OSSM Reinspection Fees</t>
  </si>
  <si>
    <t>COMRIOSSMN</t>
  </si>
  <si>
    <t>COMRInOSSM</t>
  </si>
  <si>
    <t>Pope Annual Fees</t>
  </si>
  <si>
    <t>ComPope</t>
  </si>
  <si>
    <t>Inspection Fee for Vehicles used as Water Carters</t>
  </si>
  <si>
    <t>COMInsWCrt</t>
  </si>
  <si>
    <t>Public Swimming Pool Inspections per Unit - EH</t>
  </si>
  <si>
    <t>ComInsSPEH</t>
  </si>
  <si>
    <t>Public Swimming Pool Inspections per Unit</t>
  </si>
  <si>
    <t>COMInsPool</t>
  </si>
  <si>
    <t>OSSM Inspection Fees</t>
  </si>
  <si>
    <t>COMInsOSSM</t>
  </si>
  <si>
    <t>OSSM Inspection Fees - Urgent</t>
  </si>
  <si>
    <t>COMInsOSMU</t>
  </si>
  <si>
    <t>Inspection Fee for Mortuaries</t>
  </si>
  <si>
    <t>ComInsMort</t>
  </si>
  <si>
    <t>Inspection Fee Hairdresser and Skin Penetration</t>
  </si>
  <si>
    <t>COMInsHair</t>
  </si>
  <si>
    <t>Reinspection Fee Food Premises</t>
  </si>
  <si>
    <t>COMInsFooR</t>
  </si>
  <si>
    <t>Inspection Fee Food Premises</t>
  </si>
  <si>
    <t>COMInsFood</t>
  </si>
  <si>
    <t>Cooling Tower Inspections per Unit</t>
  </si>
  <si>
    <t>COMInsCool</t>
  </si>
  <si>
    <t>Caravan Park Inspection Fees per site</t>
  </si>
  <si>
    <t>COMInsCara</t>
  </si>
  <si>
    <t>Inspection Fee for Brothels</t>
  </si>
  <si>
    <t>ComInsBrot</t>
  </si>
  <si>
    <t>Essential Services Registration Fire Cert</t>
  </si>
  <si>
    <t>ComFireCer</t>
  </si>
  <si>
    <t>Permission Fee to Keep More Than 2 Dogs</t>
  </si>
  <si>
    <t>COMFee2Dog</t>
  </si>
  <si>
    <t>Food Premises - Improvement Notice Fee</t>
  </si>
  <si>
    <t>COMFdImpNt</t>
  </si>
  <si>
    <t>Food Premises - Cat 4 Admin Fee and one inspection</t>
  </si>
  <si>
    <t>COMFdCat4</t>
  </si>
  <si>
    <t>Food Premises - Cat 3 Admin Fee and one inspection</t>
  </si>
  <si>
    <t>COMFdCat3</t>
  </si>
  <si>
    <t>Food Premises - Cat 2 Admin Fee and one inspection</t>
  </si>
  <si>
    <t>COMFdCat2</t>
  </si>
  <si>
    <t>Food Premises - Cat 1 Admin Fee and one inspection</t>
  </si>
  <si>
    <t>COMFdCat1</t>
  </si>
  <si>
    <t>Essential Services Compliance Inspection</t>
  </si>
  <si>
    <t>ComEssServ</t>
  </si>
  <si>
    <t>Swimming Pool (Commercial) Compliance Certificate</t>
  </si>
  <si>
    <t>CerComPool</t>
  </si>
  <si>
    <t>Linen Plan Release Fee per Release</t>
  </si>
  <si>
    <t>SC_LinPlnR</t>
  </si>
  <si>
    <t>Certs</t>
  </si>
  <si>
    <t>Strata Inspection Fee (Prior to issue of Sub Cert)</t>
  </si>
  <si>
    <t>SC_InspFee</t>
  </si>
  <si>
    <t>Re-release of Linen Plan due to Surveyor Error</t>
  </si>
  <si>
    <t>SC_FeeRLin</t>
  </si>
  <si>
    <t>Certificate Prepayment</t>
  </si>
  <si>
    <t>PP</t>
  </si>
  <si>
    <t>OSSM Device Report - Urgency Fee</t>
  </si>
  <si>
    <t>OSSMInRepU</t>
  </si>
  <si>
    <t>OSSM Device Report - Reinspection Fee</t>
  </si>
  <si>
    <t>OSSMInRepR</t>
  </si>
  <si>
    <t>OSSM Inspection for Conveyancing</t>
  </si>
  <si>
    <t>OSSMInRep</t>
  </si>
  <si>
    <t>OSSM Device Report - Change Ownership Fee</t>
  </si>
  <si>
    <t>OSSMChOwn</t>
  </si>
  <si>
    <t>House Drainage Diagram Fee</t>
  </si>
  <si>
    <t>DDOnline</t>
  </si>
  <si>
    <t>149 (2) &amp; (5) Urgency Fee</t>
  </si>
  <si>
    <t>CerUrg1495</t>
  </si>
  <si>
    <t>149 (2) Urgency Fee</t>
  </si>
  <si>
    <t>CerUrg1492</t>
  </si>
  <si>
    <t>Swimming Pool Compliance Inspection</t>
  </si>
  <si>
    <t>CerPoolIns</t>
  </si>
  <si>
    <t>Planning Certificate 149 (2) &amp; (5)</t>
  </si>
  <si>
    <t>CerPln1495</t>
  </si>
  <si>
    <t>Planning Certificate 149 (2)</t>
  </si>
  <si>
    <t>CerPln1492</t>
  </si>
  <si>
    <t>Planning Certificate 149 (5) + Urgency Fee</t>
  </si>
  <si>
    <t>CerPl1495U</t>
  </si>
  <si>
    <t>Planning Certificate 149 (2) + Urgency Fee</t>
  </si>
  <si>
    <t>CerPl1492U</t>
  </si>
  <si>
    <t>Occupation Certificate Registration Fee</t>
  </si>
  <si>
    <t>CerOccReg</t>
  </si>
  <si>
    <t>Occupation Certificate Class 2-9 Buildings</t>
  </si>
  <si>
    <t>CerOcc2_9</t>
  </si>
  <si>
    <t>Special Water Meter Reading Fee Urgency Fee</t>
  </si>
  <si>
    <t>CerFeeSWaU</t>
  </si>
  <si>
    <t>Special Water Meter Reading Fee</t>
  </si>
  <si>
    <t>CerFeeSWat</t>
  </si>
  <si>
    <t>735a Certificate Fee</t>
  </si>
  <si>
    <t>CerFee735a</t>
  </si>
  <si>
    <t>64 Pt 7 Noxious Weeds Certificate Fee</t>
  </si>
  <si>
    <t>CerFee64NW</t>
  </si>
  <si>
    <t>Urgency Fee for 603 Certificate</t>
  </si>
  <si>
    <t>CerFee603U</t>
  </si>
  <si>
    <t>Fee for 603 Certificate</t>
  </si>
  <si>
    <t>CerFee603_</t>
  </si>
  <si>
    <t>121ZP Certificate Fee</t>
  </si>
  <si>
    <t>CerFee121Z</t>
  </si>
  <si>
    <t>CerDraDiag</t>
  </si>
  <si>
    <t>House Drainage Diagram Fee - Inspection Required</t>
  </si>
  <si>
    <t>CerDDPlumb</t>
  </si>
  <si>
    <t>House Drainage Diagram Fee - No existing plans</t>
  </si>
  <si>
    <t>CerDDdrawn</t>
  </si>
  <si>
    <t>Swimming Pool Compliance Certificate</t>
  </si>
  <si>
    <t>735a Certificate Fee - Additional Fee for Inspect</t>
  </si>
  <si>
    <t>Cer735aIns</t>
  </si>
  <si>
    <t>121ZP Certificate Fee - Additional Fee for Inspect</t>
  </si>
  <si>
    <t>Cer121ZIns</t>
  </si>
  <si>
    <t>Additional Fee for Council Seal on Linen Release</t>
  </si>
  <si>
    <t>CC_FeeSeal</t>
  </si>
  <si>
    <t>Certified Copy of Building Certificate</t>
  </si>
  <si>
    <t>BC_CerCopy</t>
  </si>
  <si>
    <t>Class 1 (with any Class 10 on site) Class 10 Buil</t>
  </si>
  <si>
    <t>BC_CerBuil</t>
  </si>
  <si>
    <t>Building Certificate for all other Classes</t>
  </si>
  <si>
    <t>BC_CerBui2</t>
  </si>
  <si>
    <t>Additional Building Certificates</t>
  </si>
  <si>
    <t>BC_CerBAdd</t>
  </si>
  <si>
    <t>Additional CC Fees -  (not including BC Fee)</t>
  </si>
  <si>
    <t>BC_CCFee</t>
  </si>
  <si>
    <t>BC Additional Fee - more than one inspection</t>
  </si>
  <si>
    <t>BC_AddInsp</t>
  </si>
  <si>
    <t>Additional DA Application Fees</t>
  </si>
  <si>
    <t>BC_AddDAFe</t>
  </si>
  <si>
    <t>Bushfire Attack Level Assessment &amp; Inspection Fee</t>
  </si>
  <si>
    <t>BALInsp</t>
  </si>
  <si>
    <t>Bushfire Attack Level Certificate Cert Fee</t>
  </si>
  <si>
    <t>BALCertFee</t>
  </si>
  <si>
    <t>Water Head Works Contribution (WaterHead)</t>
  </si>
  <si>
    <t>WaterHead</t>
  </si>
  <si>
    <t>Rams</t>
  </si>
  <si>
    <t>Tamworth - Water Headworks (TWaterH)</t>
  </si>
  <si>
    <t>TWaterH</t>
  </si>
  <si>
    <t>Tam Lifestyle Village- Landscape Cont (TUWatLandS)</t>
  </si>
  <si>
    <t>TUWatLandS</t>
  </si>
  <si>
    <t>Tamworth Urban - Road Catchment 5 (TURoadCat5)</t>
  </si>
  <si>
    <t>TURoadCat5</t>
  </si>
  <si>
    <t>Tamworth Urban - Road Catchment 4 (TURoadCat4)</t>
  </si>
  <si>
    <t>TURoadCat4</t>
  </si>
  <si>
    <t>Tamworth Urban - Road Catchment 3 (TURoadCat3)</t>
  </si>
  <si>
    <t>TURoadCat3</t>
  </si>
  <si>
    <t>Tamworth Urban - Road Catchment 2 (TURoadCat2)</t>
  </si>
  <si>
    <t>TURoadCat2</t>
  </si>
  <si>
    <t>Tamworth Urban - Road Catchment 1 (TURoadCat1)</t>
  </si>
  <si>
    <t>TURoadCat1</t>
  </si>
  <si>
    <t>Tamworth Urban - Open Space Embellish (TUOpenSpEm)</t>
  </si>
  <si>
    <t>TUOpenSpEm</t>
  </si>
  <si>
    <t>Tamworth Urban - Open Space Acquist (TUOpenSpAq)</t>
  </si>
  <si>
    <t>TUOpenSpAq</t>
  </si>
  <si>
    <t>Tamworth Urban - Low Pressure (TULowPress)</t>
  </si>
  <si>
    <t>TULowPress</t>
  </si>
  <si>
    <t>Tamworth Urban - Cycleway Network (TUCycleway)</t>
  </si>
  <si>
    <t>TUCycleway</t>
  </si>
  <si>
    <t>Tamworth Urban - Community Facilities (TUCommFac)</t>
  </si>
  <si>
    <t>TUCommFac</t>
  </si>
  <si>
    <t>Tamworth Urban - Car Parking (TUCarPark)</t>
  </si>
  <si>
    <t>TUCarPark</t>
  </si>
  <si>
    <t>Tamworth Urban - Admin/Studies (TUAdminStu)</t>
  </si>
  <si>
    <t>TUAdminStu</t>
  </si>
  <si>
    <t>Tamworth - Sewer Headworks (TSewerH)</t>
  </si>
  <si>
    <t>TSewerH</t>
  </si>
  <si>
    <t>Tamworth - Roadworks (Troadworks)</t>
  </si>
  <si>
    <t>Troadworks</t>
  </si>
  <si>
    <t>Tamworth - Open Space (TOpenSp)</t>
  </si>
  <si>
    <t>TOpenSp</t>
  </si>
  <si>
    <t>Tamworth - Downstream Drainage (TDownsDr)</t>
  </si>
  <si>
    <t>TDownsDr</t>
  </si>
  <si>
    <t>Tamworth - Cycleway Network (Tcycleway)</t>
  </si>
  <si>
    <t>Tcycleway</t>
  </si>
  <si>
    <t>Tamworth - Community Facilities (TCommFac)</t>
  </si>
  <si>
    <t>TCommFac</t>
  </si>
  <si>
    <t>Tamworth - Car Parking (TCarPark)</t>
  </si>
  <si>
    <t>TCarPark</t>
  </si>
  <si>
    <t>Tamworth - Acquisition Open Space (TamOpSpAcq)</t>
  </si>
  <si>
    <t>TamOpSpAcq</t>
  </si>
  <si>
    <t>Sewer Headworks Contribution</t>
  </si>
  <si>
    <t>SewerHead</t>
  </si>
  <si>
    <t>S94 - RoadsTam Urban Catchment</t>
  </si>
  <si>
    <t>S94TURoad</t>
  </si>
  <si>
    <t>S94 - Plans &amp; Administration Tam Urban Catchment</t>
  </si>
  <si>
    <t>S94TUPlan</t>
  </si>
  <si>
    <t>S94 - Open Space Embellish Tam Urban Catchment</t>
  </si>
  <si>
    <t>S94TUOSEm</t>
  </si>
  <si>
    <t>S94 - Open Space Acquisition Tam Urban Catchment</t>
  </si>
  <si>
    <t>S94TUOSAq</t>
  </si>
  <si>
    <t>S94 - HaulageTam Urban Catchment</t>
  </si>
  <si>
    <t>S94TUHaul</t>
  </si>
  <si>
    <t>S94 - Car ParkingTam Urban Catchment</t>
  </si>
  <si>
    <t>S94TUCarPk</t>
  </si>
  <si>
    <t>Open Space Contributions</t>
  </si>
  <si>
    <t>S94OpeSpac</t>
  </si>
  <si>
    <t>S94 - Roads Kootingal Catchment</t>
  </si>
  <si>
    <t>S94KtRoad</t>
  </si>
  <si>
    <t>S94 - Plans &amp; Administration Kootingal Catchment</t>
  </si>
  <si>
    <t>S94KtPlan</t>
  </si>
  <si>
    <t>S94 - Open Space Embellish Kootingal Catchment</t>
  </si>
  <si>
    <t>S94KtOSEm</t>
  </si>
  <si>
    <t>S94 - Open Space Acquisition Kootingal Catchment</t>
  </si>
  <si>
    <t>S94KtOSAq</t>
  </si>
  <si>
    <t>S94 - Roads Hills Plain Catchment</t>
  </si>
  <si>
    <t>S94HPRoad</t>
  </si>
  <si>
    <t>S94 - Plans &amp; Administration Hills Plain Catchment</t>
  </si>
  <si>
    <t>S94HPPlan</t>
  </si>
  <si>
    <t>S94 - Open Space Embellish Hills Plain Catchment</t>
  </si>
  <si>
    <t>S94HPOSEm</t>
  </si>
  <si>
    <t>S94 - Open Space Acquisition Hills Plain Catchment</t>
  </si>
  <si>
    <t>S94HPOSAq</t>
  </si>
  <si>
    <t>Cycle Way Network Contributions</t>
  </si>
  <si>
    <t>S94CyclWay</t>
  </si>
  <si>
    <t>Community Facilities Contribution</t>
  </si>
  <si>
    <t>S94CommFac</t>
  </si>
  <si>
    <t>Car Parking Contribution</t>
  </si>
  <si>
    <t>S94CarPark</t>
  </si>
  <si>
    <t>S94 - Roads Calala Catchment</t>
  </si>
  <si>
    <t>S94CalRoad</t>
  </si>
  <si>
    <t>S94 - Plans &amp; Administration Calala Catchment</t>
  </si>
  <si>
    <t>S94CalPlan</t>
  </si>
  <si>
    <t>S94 - Open Space Embellish Calala Catchment</t>
  </si>
  <si>
    <t>S94CalOSEm</t>
  </si>
  <si>
    <t>S94 - Open Space Acquisition Calala Catchment</t>
  </si>
  <si>
    <t>S94CalOSAq</t>
  </si>
  <si>
    <t>S94A - Indirect Contributions</t>
  </si>
  <si>
    <t>S94AInCont</t>
  </si>
  <si>
    <t>Parry - Rural Roadworks (PRuralRoad)</t>
  </si>
  <si>
    <t>PRuralRoad</t>
  </si>
  <si>
    <t>Parry - Rural Industries (PRuralInd)</t>
  </si>
  <si>
    <t>PRuralInd</t>
  </si>
  <si>
    <t>Parry - Mines &amp; Extractive Ind (PMineExIn)</t>
  </si>
  <si>
    <t>PMineExIn</t>
  </si>
  <si>
    <t>Parry - Low Pressure (PLowPress)</t>
  </si>
  <si>
    <t>PLowPress</t>
  </si>
  <si>
    <t>Parry - Downstream Drainage</t>
  </si>
  <si>
    <t>PDownsDr</t>
  </si>
  <si>
    <t>Parry - Bushfire (Pbushfire)</t>
  </si>
  <si>
    <t>Pbushfire</t>
  </si>
  <si>
    <t>Nundle - Water Headworks</t>
  </si>
  <si>
    <t>NWaterH</t>
  </si>
  <si>
    <t>Nundle - Garbage Disposal</t>
  </si>
  <si>
    <t>Ngarbage</t>
  </si>
  <si>
    <t>Nundle - Downstream Drainage</t>
  </si>
  <si>
    <t>NDownsDr</t>
  </si>
  <si>
    <t>Nundle - Bushfire</t>
  </si>
  <si>
    <t>Nbushfire</t>
  </si>
  <si>
    <t>Manilla - Water Headworks (MWaterH)</t>
  </si>
  <si>
    <t>MWaterH</t>
  </si>
  <si>
    <t>Manilla - Sewer Headworks (MSewerH)</t>
  </si>
  <si>
    <t>MSewerH</t>
  </si>
  <si>
    <t>Manilla - Passive Open Space (MOpenSpPas)</t>
  </si>
  <si>
    <t>MOpenSpPas</t>
  </si>
  <si>
    <t>Manilla - Active Open Space (MOpenSpAc)</t>
  </si>
  <si>
    <t>MOpenSpAc</t>
  </si>
  <si>
    <t>Manilla - Downstream Drainage</t>
  </si>
  <si>
    <t>MDownsDr</t>
  </si>
  <si>
    <t>Moore Creek Water Developer Infrastructure</t>
  </si>
  <si>
    <t>MCWatDInf</t>
  </si>
  <si>
    <t>Manilla - Bushfire (Mbushfire)</t>
  </si>
  <si>
    <t>Mbushfire</t>
  </si>
  <si>
    <t>Parry - Water Headworks (KootWaterH)</t>
  </si>
  <si>
    <t>KootWaterH</t>
  </si>
  <si>
    <t>Kootingal - Sewer Headworks (KootSewerH)</t>
  </si>
  <si>
    <t>KootSewerH</t>
  </si>
  <si>
    <t>Contribution paid in lieu</t>
  </si>
  <si>
    <t>InLieu</t>
  </si>
  <si>
    <t>Hills Plain Water DSP (HPWaterDSP)</t>
  </si>
  <si>
    <t>HPWaterDSP</t>
  </si>
  <si>
    <t>Hills Plain East - Studies (HPStudies)</t>
  </si>
  <si>
    <t>HPStudies</t>
  </si>
  <si>
    <t>Hills Plain East - Sewer Headworks (HPSewerH)</t>
  </si>
  <si>
    <t>HPSewerH</t>
  </si>
  <si>
    <t>Hills Plain East - Roads &amp; Bridges (HPRoadBr)</t>
  </si>
  <si>
    <t>HPRoadBr</t>
  </si>
  <si>
    <t>Hills Plain - Low Press Sewer Pipe (HPLPSewP)</t>
  </si>
  <si>
    <t>HPLPSewP</t>
  </si>
  <si>
    <t>Hills Plain - Low Pressure Sewerage (HPLowSew)</t>
  </si>
  <si>
    <t>HPLowSew</t>
  </si>
  <si>
    <t>Hills Plain - Sewer Interim DSP (HPDSPSew)</t>
  </si>
  <si>
    <t>HPDSPSew</t>
  </si>
  <si>
    <t>Hills Plain East - Downstream Drainage</t>
  </si>
  <si>
    <t>HPDownsDr</t>
  </si>
  <si>
    <t>Hills Plain East - Community Facilities (HPComm)</t>
  </si>
  <si>
    <t>HPComm</t>
  </si>
  <si>
    <t>Down Stream Drainage Contribution</t>
  </si>
  <si>
    <t>DownStream</t>
  </si>
  <si>
    <t>Subdivision Application with Roundabout</t>
  </si>
  <si>
    <t>DA-AppSRbt</t>
  </si>
  <si>
    <t>Barraba - Water Headworks</t>
  </si>
  <si>
    <t>BWaterH</t>
  </si>
  <si>
    <t>Barraba - Sewer Headworks</t>
  </si>
  <si>
    <t>BSewerH</t>
  </si>
  <si>
    <t>Barraba - Open Space</t>
  </si>
  <si>
    <t>BOpenSp</t>
  </si>
  <si>
    <t>Barraba - Mines &amp; Extractive Industries</t>
  </si>
  <si>
    <t>BMineExIn</t>
  </si>
  <si>
    <t>Barraba - Downstream Drainage</t>
  </si>
  <si>
    <t>BDownsDr</t>
  </si>
  <si>
    <t>Barraba - Bushfire</t>
  </si>
  <si>
    <t>Bbushfire</t>
  </si>
  <si>
    <t>Service Charge to Connect to Water Meter (remote)</t>
  </si>
  <si>
    <t>SrvWatAppR</t>
  </si>
  <si>
    <t>Section 138 Approval Inspection Fee</t>
  </si>
  <si>
    <t>Sec138Insp</t>
  </si>
  <si>
    <t>SCInspFeeN</t>
  </si>
  <si>
    <t>Scanning Fee (Electronic Documents not Supplied)</t>
  </si>
  <si>
    <t>ScanFee</t>
  </si>
  <si>
    <t>S68 Fee - Relocatable Dwellings</t>
  </si>
  <si>
    <t>S68RelDwel</t>
  </si>
  <si>
    <t>Sect 68 Plumbing Drainage &amp; Septic Inspection</t>
  </si>
  <si>
    <t>S68InsPluN</t>
  </si>
  <si>
    <t>Caravan Park Application Fees</t>
  </si>
  <si>
    <t>S68CarvanP</t>
  </si>
  <si>
    <t>Application for Septic Tank System - Non Resident</t>
  </si>
  <si>
    <t>S68ApSepNR</t>
  </si>
  <si>
    <t>Sect 68 Water Permit</t>
  </si>
  <si>
    <t>S68AppWate</t>
  </si>
  <si>
    <t>Sect 68 Trade Waste</t>
  </si>
  <si>
    <t>s68AppTW</t>
  </si>
  <si>
    <t>Sect 68 Erect Temporary Building up to 6 Mths</t>
  </si>
  <si>
    <t>S68AppTemp</t>
  </si>
  <si>
    <t>Sect 68 Storm Water Permit</t>
  </si>
  <si>
    <t>S68AppStor</t>
  </si>
  <si>
    <t>Application for Septic Tank System - Residential</t>
  </si>
  <si>
    <t>S68AppSept</t>
  </si>
  <si>
    <t>Sect 68 Other Permits</t>
  </si>
  <si>
    <t>S68AppOthe</t>
  </si>
  <si>
    <t>Sect 68 Sewer Permit</t>
  </si>
  <si>
    <t>S68AppDrai</t>
  </si>
  <si>
    <t>App Fee per Amusement Device</t>
  </si>
  <si>
    <t>S68AppAmus</t>
  </si>
  <si>
    <t>Sect 68 Approvals under Acts / Council constant Au</t>
  </si>
  <si>
    <t>S68AppActs</t>
  </si>
  <si>
    <t>Road Naming - Gazette Fee (when electronic N/A)</t>
  </si>
  <si>
    <t>RoadNameGz</t>
  </si>
  <si>
    <t>Road Naming Administration &amp; Advertising Fee</t>
  </si>
  <si>
    <t>RoadName</t>
  </si>
  <si>
    <t>Inspection Fee when Council not PCA</t>
  </si>
  <si>
    <t>PRIVInsFee</t>
  </si>
  <si>
    <t>Rams Prepayment</t>
  </si>
  <si>
    <t>Modification to Residential Flat Dev under SEPP 65</t>
  </si>
  <si>
    <t>MODSEPP65</t>
  </si>
  <si>
    <t>Mod under S96 to erection of dwelling-house&lt;=$100k</t>
  </si>
  <si>
    <t>MODHou&lt;100</t>
  </si>
  <si>
    <t>Mod. Fee Dwelling/other C1 &amp; C10 up to 55m2 MinEnv</t>
  </si>
  <si>
    <t>MODC110Min</t>
  </si>
  <si>
    <t>Other Modifications S(96) 2 no work involved</t>
  </si>
  <si>
    <t>MODAppOthe</t>
  </si>
  <si>
    <t>MODAppOth1</t>
  </si>
  <si>
    <t>Minor modifications S96 (1) Error</t>
  </si>
  <si>
    <t>MODAppMino</t>
  </si>
  <si>
    <t>Minor Modifications S96(1a) minimal Enviro Impact</t>
  </si>
  <si>
    <t>MODAppMin1</t>
  </si>
  <si>
    <t>Modification to any other DA under S96(2)</t>
  </si>
  <si>
    <t>MOD_AnyOth</t>
  </si>
  <si>
    <t>Fees to Obtain Certificates from LPI Online Shop</t>
  </si>
  <si>
    <t>LPIShop</t>
  </si>
  <si>
    <t>S68 - 5 inspections</t>
  </si>
  <si>
    <t>InsS68x5</t>
  </si>
  <si>
    <t>S68 - 4 inspections</t>
  </si>
  <si>
    <t>InsS68x4</t>
  </si>
  <si>
    <t>S68 - 3 inspections</t>
  </si>
  <si>
    <t>InsS68x3</t>
  </si>
  <si>
    <t>S68 - Sewer 2 inspections</t>
  </si>
  <si>
    <t>InsS68x2</t>
  </si>
  <si>
    <t>S68 - 1 inspection</t>
  </si>
  <si>
    <t>InsS68x1</t>
  </si>
  <si>
    <t>S68 Water - 2 inspections</t>
  </si>
  <si>
    <t>InsS68Wx2</t>
  </si>
  <si>
    <t>S68 Additional Inspections Required</t>
  </si>
  <si>
    <t>InsS68Add</t>
  </si>
  <si>
    <t>Hills Plain - Sewer Cont - Moore Creek/Manilla Rd</t>
  </si>
  <si>
    <t>HPSewMCrk</t>
  </si>
  <si>
    <t>Class B &amp; C Hoarding Fees</t>
  </si>
  <si>
    <t>HoardFeeBC</t>
  </si>
  <si>
    <t>Class A Hoarding Fees</t>
  </si>
  <si>
    <t>HoardFeeA</t>
  </si>
  <si>
    <t>Vary Council Policy or DCP for Class 1-10</t>
  </si>
  <si>
    <t>DCPVariati</t>
  </si>
  <si>
    <t>DCP Amendment Fee</t>
  </si>
  <si>
    <t>DCPFeeAmen</t>
  </si>
  <si>
    <t>Preliminary Application</t>
  </si>
  <si>
    <t>DAAppPrelN</t>
  </si>
  <si>
    <t>Temporary Structure Fee</t>
  </si>
  <si>
    <t>DA_TempDwl</t>
  </si>
  <si>
    <t>Section 82a Review with no dwelling</t>
  </si>
  <si>
    <t>DA_RevNoDe</t>
  </si>
  <si>
    <t>Section 82a Review on dwelling under 100k</t>
  </si>
  <si>
    <t>DA_RevDwel</t>
  </si>
  <si>
    <t>Advice to Certifier on Consistency with DA or CDC</t>
  </si>
  <si>
    <t>DA_PrivAdv</t>
  </si>
  <si>
    <t>DA Plan First Application Fee</t>
  </si>
  <si>
    <t>DA_Pln1st_</t>
  </si>
  <si>
    <t>Notification Fee/Newspaper</t>
  </si>
  <si>
    <t>DA_NotNews</t>
  </si>
  <si>
    <t>Notification to Adjoining Owners</t>
  </si>
  <si>
    <t>DA_NotAdjo</t>
  </si>
  <si>
    <t>Advertising Fee - Section 252 of EPA</t>
  </si>
  <si>
    <t>DA_IntAdv</t>
  </si>
  <si>
    <t>DA Application Fee for New Dwellings</t>
  </si>
  <si>
    <t>DA_Dwell</t>
  </si>
  <si>
    <t>DA Application Fee - Dwellings $100,00 or less</t>
  </si>
  <si>
    <t>DA_Dw&lt;100K</t>
  </si>
  <si>
    <t>Designated Development Fee</t>
  </si>
  <si>
    <t>DA_DesiFee</t>
  </si>
  <si>
    <t>Strata Subdivision Application Fee</t>
  </si>
  <si>
    <t>DA_AppSubS</t>
  </si>
  <si>
    <t>Subdivision Application with New Road</t>
  </si>
  <si>
    <t>DA_AppSubR</t>
  </si>
  <si>
    <t>Subdivision Application with no new Road</t>
  </si>
  <si>
    <t>DA_AppSubN</t>
  </si>
  <si>
    <t>Subdivision Application - Add Fee New Road(s)</t>
  </si>
  <si>
    <t>DA_AppSubE</t>
  </si>
  <si>
    <t>Subdivision Application - Base Fee</t>
  </si>
  <si>
    <t>DA_AppSubB</t>
  </si>
  <si>
    <t>Review of Determination/conditions Sect 82 A(3)</t>
  </si>
  <si>
    <t>DA_AppRevi</t>
  </si>
  <si>
    <t>Renewal of Development Consent Fee</t>
  </si>
  <si>
    <t>DA_AppRene</t>
  </si>
  <si>
    <t>Preliminary Application - Dwelling Permissibility</t>
  </si>
  <si>
    <t>DA_AppPrDw</t>
  </si>
  <si>
    <t>Integrated Dev Fee plus Fee for each approval Body</t>
  </si>
  <si>
    <t>DA_AppInte</t>
  </si>
  <si>
    <t>DA Application Fees</t>
  </si>
  <si>
    <t>DA_AppEsti</t>
  </si>
  <si>
    <t>Integrated Dev Fee - Online</t>
  </si>
  <si>
    <t>DA_AppeInt</t>
  </si>
  <si>
    <t>Designated Development Application Fees</t>
  </si>
  <si>
    <t>DA_AppDesi</t>
  </si>
  <si>
    <t>Demolition or Change of Use</t>
  </si>
  <si>
    <t>DA_AppDemo</t>
  </si>
  <si>
    <t>Application Fee Advertising Structure</t>
  </si>
  <si>
    <t>DA_AppAdve</t>
  </si>
  <si>
    <t>Exhibition/Notification Fee Sect 79 Designated Dev</t>
  </si>
  <si>
    <t>DA_AdvDesi</t>
  </si>
  <si>
    <t>Fee to Obtain Certificate of Title</t>
  </si>
  <si>
    <t>CertTitle</t>
  </si>
  <si>
    <t>Occupation Certificate Class 1-10 Buildings</t>
  </si>
  <si>
    <t>CerOcc1_10</t>
  </si>
  <si>
    <t>Building &amp; Construction Long Service Leave Levy</t>
  </si>
  <si>
    <t>CDCFeeLSLL</t>
  </si>
  <si>
    <t>Complying Dev Cert Assessment Fee - Residential</t>
  </si>
  <si>
    <t>CDCAssFeeR</t>
  </si>
  <si>
    <t>Complying Dev Cert Assessment Fee - Commercial</t>
  </si>
  <si>
    <t>CDCAssFeeC</t>
  </si>
  <si>
    <t>Private Cert CDC &amp; CC Regn fee</t>
  </si>
  <si>
    <t>CDCAppRego</t>
  </si>
  <si>
    <t>CDCert &amp; CCert for Demolition</t>
  </si>
  <si>
    <t>CDCAppDemo</t>
  </si>
  <si>
    <t>CDC &amp; CC Change of Use Application</t>
  </si>
  <si>
    <t>CDCAppChan</t>
  </si>
  <si>
    <t>CDC CC Amendments - 30% Original Fee</t>
  </si>
  <si>
    <t>CDCAppAm1N</t>
  </si>
  <si>
    <t>Urgent Unsched Inspection - Manilla Barraba Nundle</t>
  </si>
  <si>
    <t>CC_UrgInsp</t>
  </si>
  <si>
    <t>Urgent Unsched Ins Pt Fee - Manilla Barraba Nundle</t>
  </si>
  <si>
    <t>CC_UrgInPt</t>
  </si>
  <si>
    <t>Subdivision Reinspection Fee - Water</t>
  </si>
  <si>
    <t>CC_ReinspW</t>
  </si>
  <si>
    <t>Subdivision Reinspection Fee - Sewer</t>
  </si>
  <si>
    <t>CC_ReinspS</t>
  </si>
  <si>
    <t>Subdivision Reinspection Fee - Roads</t>
  </si>
  <si>
    <t>CC_ReinspR</t>
  </si>
  <si>
    <t>Add Insp Fee Cl 2-9  Cncl PCA some insp by others</t>
  </si>
  <si>
    <t>CC_PCAAddF</t>
  </si>
  <si>
    <t>CC_LinenPl</t>
  </si>
  <si>
    <t>Sub Division Inspection Fees Urban Lot Water</t>
  </si>
  <si>
    <t>CC_InsUrWt</t>
  </si>
  <si>
    <t>Sub Division Inspection Fees Urban Lot Sewer</t>
  </si>
  <si>
    <t>CC_InsUrSw</t>
  </si>
  <si>
    <t>Sub Division Inspection Fees Urban Lot Roads</t>
  </si>
  <si>
    <t>CC_InsUrRd</t>
  </si>
  <si>
    <t>Subdivision Insp Fee per Rural Lot (W &amp; S) Water</t>
  </si>
  <si>
    <t>CC_InsRuWt</t>
  </si>
  <si>
    <t>Subdivision Insp Fee per Rural Lot (W &amp; S) Sewer</t>
  </si>
  <si>
    <t>CC_InsRuSw</t>
  </si>
  <si>
    <t>Subdivision Insp Fee per Rural Lot (W &amp; S) Roads</t>
  </si>
  <si>
    <t>CC_InsRuRd</t>
  </si>
  <si>
    <t>Subdivision Insp Fee per Rural - NO Water or Sewer</t>
  </si>
  <si>
    <t>CC_InsRuNo</t>
  </si>
  <si>
    <t>Building Inspection-Special Request or Reinspect</t>
  </si>
  <si>
    <t>CC_InsRequ</t>
  </si>
  <si>
    <t>Subdivision Insp Fee Com/Ind Lots per Lot - Water</t>
  </si>
  <si>
    <t>CC_InsComW</t>
  </si>
  <si>
    <t>Subdivision Insp Fee Com/Ind Lots per Lot - Sewer</t>
  </si>
  <si>
    <t>CC_InsComS</t>
  </si>
  <si>
    <t>Subdivision Insp Fee Com/Ind Lots per Lot - Roads</t>
  </si>
  <si>
    <t>CC_InsComR</t>
  </si>
  <si>
    <t>Roads Act (Sec 138 Works &amp; Structures) Application</t>
  </si>
  <si>
    <t>Private Certifier Certificate Registration</t>
  </si>
  <si>
    <t>CC_FeeRLin</t>
  </si>
  <si>
    <t>Preliminary Development Advice</t>
  </si>
  <si>
    <t>Construction Certificate per Sub Div Lot</t>
  </si>
  <si>
    <t>CC_CerSubD</t>
  </si>
  <si>
    <t>Modification to Application</t>
  </si>
  <si>
    <t>CC Cons Cert Applications Residential</t>
  </si>
  <si>
    <t>CC_AppFeeR</t>
  </si>
  <si>
    <t>Local Govt Act - Section 68 (Activity) Approvals</t>
  </si>
  <si>
    <t>CC Cons Cert Applications - Commercial</t>
  </si>
  <si>
    <t>CC_AppFeeC</t>
  </si>
  <si>
    <t>Development Contributions - Direct/Indirect</t>
  </si>
  <si>
    <t>DA Bushfire Assessment Fee incl Inspection Fee</t>
  </si>
  <si>
    <t>BushAssFeN</t>
  </si>
  <si>
    <t>Development Contribution Plans - before 13/4/2013</t>
  </si>
  <si>
    <t>Assessment of Alternative Solutions under BCA</t>
  </si>
  <si>
    <t>BCAAltSol</t>
  </si>
  <si>
    <t>Construction Certificate - Subdivision</t>
  </si>
  <si>
    <t>Bushfire Assessment Fee - BAL Certificate</t>
  </si>
  <si>
    <t>BALCerFeeN</t>
  </si>
  <si>
    <t>Certificates/Reports - Planning &amp; Regulatory</t>
  </si>
  <si>
    <t>Document Management Storage Fee</t>
  </si>
  <si>
    <t>ArchivFeeN</t>
  </si>
  <si>
    <t>Occupation Certificate</t>
  </si>
  <si>
    <t>Charge Type</t>
  </si>
  <si>
    <t>Module Code</t>
  </si>
  <si>
    <t>All Charges</t>
  </si>
  <si>
    <t>P&amp;R CHARGE TYPE REFERENCE</t>
  </si>
  <si>
    <t>Factory/Warehouse - metal walls &gt;1001</t>
  </si>
  <si>
    <t>Factory/Warehouse - metal walls &lt;1000</t>
  </si>
  <si>
    <t>Factory/Warehouse - precast concrete &gt;1000</t>
  </si>
  <si>
    <t>Factory/Warehouse - precast concrete &lt;1000</t>
  </si>
  <si>
    <t>Technical College</t>
  </si>
  <si>
    <t>Primary/High School</t>
  </si>
  <si>
    <t>Nursing Home (1 storey)</t>
  </si>
  <si>
    <t>Medical Centre (1 storey)</t>
  </si>
  <si>
    <t>Hospital - multi storey</t>
  </si>
  <si>
    <t>Hospital - 1 storey</t>
  </si>
  <si>
    <t>Hotel/Motel/Club - 3+</t>
  </si>
  <si>
    <t>Hotel/Motel/Club - 1&amp;2</t>
  </si>
  <si>
    <t>Carpark - undercover vent</t>
  </si>
  <si>
    <t>Carpark - undercover no vent</t>
  </si>
  <si>
    <t>Carpark - open</t>
  </si>
  <si>
    <t>Service Stations</t>
  </si>
  <si>
    <t>Cinemas</t>
  </si>
  <si>
    <t>Shopping Complex</t>
  </si>
  <si>
    <t>Department Stores</t>
  </si>
  <si>
    <t>Shops</t>
  </si>
  <si>
    <t>Offices - 4+</t>
  </si>
  <si>
    <t>Offices - 1-3</t>
  </si>
  <si>
    <r>
      <t>Swimming Pool &lt; 40m</t>
    </r>
    <r>
      <rPr>
        <vertAlign val="superscript"/>
        <sz val="11"/>
        <color theme="1"/>
        <rFont val="Calibri"/>
        <family val="2"/>
        <scheme val="minor"/>
      </rPr>
      <t xml:space="preserve">2 </t>
    </r>
    <r>
      <rPr>
        <sz val="10"/>
        <rFont val="Arial"/>
        <family val="2"/>
      </rPr>
      <t>- aboveground</t>
    </r>
  </si>
  <si>
    <r>
      <t>Swimming Pool &lt; 40m</t>
    </r>
    <r>
      <rPr>
        <vertAlign val="superscript"/>
        <sz val="11"/>
        <color theme="1"/>
        <rFont val="Calibri"/>
        <family val="2"/>
        <scheme val="minor"/>
      </rPr>
      <t xml:space="preserve">2 </t>
    </r>
    <r>
      <rPr>
        <sz val="10"/>
        <rFont val="Arial"/>
        <family val="2"/>
      </rPr>
      <t>- fibreglass</t>
    </r>
  </si>
  <si>
    <r>
      <t>Swimming Pool &lt; 40m</t>
    </r>
    <r>
      <rPr>
        <vertAlign val="superscript"/>
        <sz val="11"/>
        <color theme="1"/>
        <rFont val="Calibri"/>
        <family val="2"/>
        <scheme val="minor"/>
      </rPr>
      <t xml:space="preserve">2 </t>
    </r>
    <r>
      <rPr>
        <sz val="10"/>
        <rFont val="Arial"/>
        <family val="2"/>
      </rPr>
      <t>- concrete</t>
    </r>
  </si>
  <si>
    <t>Front Fence - Colourbond</t>
  </si>
  <si>
    <t>Front Fence - Pool</t>
  </si>
  <si>
    <t>Front Fence - Brushwood</t>
  </si>
  <si>
    <t>Front Fence - brick and panels</t>
  </si>
  <si>
    <t>Retaining Wall - Block/Pine</t>
  </si>
  <si>
    <t>Retaining Wall - Brick</t>
  </si>
  <si>
    <t>Carport - new slab</t>
  </si>
  <si>
    <t>Carport - no new slab</t>
  </si>
  <si>
    <t>Garage - Brick</t>
  </si>
  <si>
    <t>Garage - Cladded timber frame</t>
  </si>
  <si>
    <t>Garage - metal (kit)</t>
  </si>
  <si>
    <t>Pergola - Unroofed</t>
  </si>
  <si>
    <t>Deck - Roofed</t>
  </si>
  <si>
    <t>Deck - Unroofed</t>
  </si>
  <si>
    <t>Additions - First Floor</t>
  </si>
  <si>
    <t>Additions Ground Floor brick veneer</t>
  </si>
  <si>
    <t>Additions Ground Floor timber</t>
  </si>
  <si>
    <t>Undercover Parking (Ground Floor)</t>
  </si>
  <si>
    <t>Villas</t>
  </si>
  <si>
    <t>Townhouse</t>
  </si>
  <si>
    <t>Dual Occupancy</t>
  </si>
  <si>
    <t>Individual House - High Finish - Double Brick</t>
  </si>
  <si>
    <t>Individual House - High Finish - Brick Veneer</t>
  </si>
  <si>
    <t>Individual House - High Finish - Timber</t>
  </si>
  <si>
    <t>Individual House - Medium Finish - Double Brick</t>
  </si>
  <si>
    <t>Individual House - Medium Finish - Brick Veneer</t>
  </si>
  <si>
    <t>Individual House - Medium Finish - Timber</t>
  </si>
  <si>
    <t>Project Home (1 &amp; 2 Storey) - Medium Finish</t>
  </si>
  <si>
    <t>Project Home (1 &amp; 2 Storey) Standard Finish</t>
  </si>
  <si>
    <t>Small Lot Housing (1 Storey)</t>
  </si>
  <si>
    <t>Total Cost</t>
  </si>
  <si>
    <r>
      <t>←Metres</t>
    </r>
    <r>
      <rPr>
        <vertAlign val="superscript"/>
        <sz val="8"/>
        <color theme="1"/>
        <rFont val="Calibri"/>
        <family val="2"/>
        <scheme val="minor"/>
      </rPr>
      <t xml:space="preserve"> 2</t>
    </r>
  </si>
  <si>
    <t>Select Wall Construction Material</t>
  </si>
  <si>
    <t>Factory/Warehouse</t>
  </si>
  <si>
    <r>
      <t xml:space="preserve">←Metres </t>
    </r>
    <r>
      <rPr>
        <vertAlign val="superscript"/>
        <sz val="8"/>
        <color theme="1"/>
        <rFont val="Calibri"/>
        <family val="2"/>
        <scheme val="minor"/>
      </rPr>
      <t>2</t>
    </r>
  </si>
  <si>
    <t>Select No. of Storeys</t>
  </si>
  <si>
    <t>Hospital</t>
  </si>
  <si>
    <t>Hotel/Motel/Club</t>
  </si>
  <si>
    <t>Select Carpark Configuration</t>
  </si>
  <si>
    <t>Carpark</t>
  </si>
  <si>
    <t>←No. of Spaces</t>
  </si>
  <si>
    <t>Carpark (Open bitumen)</t>
  </si>
  <si>
    <t>←No. Seats</t>
  </si>
  <si>
    <t>Supermarkets</t>
  </si>
  <si>
    <t>Offices</t>
  </si>
  <si>
    <t>Commercial Development Type</t>
  </si>
  <si>
    <t>Select Pool Construction Material</t>
  </si>
  <si>
    <t>Swimming Pool &lt; 40m2</t>
  </si>
  <si>
    <t>←Linear Metres</t>
  </si>
  <si>
    <t>Select Fence Construction Material</t>
  </si>
  <si>
    <t>Front Fence</t>
  </si>
  <si>
    <t>Retaining Wall</t>
  </si>
  <si>
    <t>Select Slab Type</t>
  </si>
  <si>
    <t>Carport</t>
  </si>
  <si>
    <t>Garage</t>
  </si>
  <si>
    <t>Select Roof Type</t>
  </si>
  <si>
    <t>Deck</t>
  </si>
  <si>
    <t>Select External Wall Material</t>
  </si>
  <si>
    <t>Additions Ground Floor</t>
  </si>
  <si>
    <t>←No.Spaces</t>
  </si>
  <si>
    <t>Individual House - High Standard Finish</t>
  </si>
  <si>
    <t>Individual House - Medium Standard Finish</t>
  </si>
  <si>
    <t>Project Home - Medium Standard Finish</t>
  </si>
  <si>
    <t>Project Home - Basic Standard Finish</t>
  </si>
  <si>
    <t>Small Lot (Affordable Housing) - 1 Storey</t>
  </si>
  <si>
    <r>
      <t>Precast concrete &gt;1000m</t>
    </r>
    <r>
      <rPr>
        <vertAlign val="superscript"/>
        <sz val="11"/>
        <color theme="1"/>
        <rFont val="Calibri"/>
        <family val="2"/>
        <scheme val="minor"/>
      </rPr>
      <t>2</t>
    </r>
  </si>
  <si>
    <t>Colourbond 1.8m high</t>
  </si>
  <si>
    <r>
      <t>Metal Walls &lt;1000m</t>
    </r>
    <r>
      <rPr>
        <vertAlign val="superscript"/>
        <sz val="11"/>
        <color theme="1"/>
        <rFont val="Calibri"/>
        <family val="2"/>
        <scheme val="minor"/>
      </rPr>
      <t>2</t>
    </r>
  </si>
  <si>
    <t>Aboveground</t>
  </si>
  <si>
    <t>Pool fence 1.5m high</t>
  </si>
  <si>
    <t>Brick</t>
  </si>
  <si>
    <t>Double Brick</t>
  </si>
  <si>
    <t>Value</t>
  </si>
  <si>
    <t>▼</t>
  </si>
  <si>
    <t>Residential Development</t>
  </si>
  <si>
    <t>2+ storeys</t>
  </si>
  <si>
    <t>3+ storeys</t>
  </si>
  <si>
    <t>Undercover (ventilated)</t>
  </si>
  <si>
    <t>4+ storeys</t>
  </si>
  <si>
    <t>Fibreglass</t>
  </si>
  <si>
    <t>Brushwood 1.8m high</t>
  </si>
  <si>
    <t>Block/Treated Pine (1m high)</t>
  </si>
  <si>
    <t>New slab</t>
  </si>
  <si>
    <t>Cladded timber frame</t>
  </si>
  <si>
    <t>Roofed</t>
  </si>
  <si>
    <t>Brick Veneer</t>
  </si>
  <si>
    <t>Units</t>
  </si>
  <si>
    <t xml:space="preserve">Enter </t>
  </si>
  <si>
    <t>Select Type (if applicable)</t>
  </si>
  <si>
    <r>
      <t>Precast concrete &lt;1000m</t>
    </r>
    <r>
      <rPr>
        <vertAlign val="superscript"/>
        <sz val="11"/>
        <color theme="1"/>
        <rFont val="Calibri"/>
        <family val="2"/>
        <scheme val="minor"/>
      </rPr>
      <t>2</t>
    </r>
  </si>
  <si>
    <t>1 storey</t>
  </si>
  <si>
    <t>1&amp;2 storey</t>
  </si>
  <si>
    <t>Undercover (no ventilation)</t>
  </si>
  <si>
    <t>1-3 storeys</t>
  </si>
  <si>
    <t>Concrete</t>
  </si>
  <si>
    <t>Face brick with inserted panels</t>
  </si>
  <si>
    <t>Brick(1m high)</t>
  </si>
  <si>
    <t>No new slab</t>
  </si>
  <si>
    <t>Metal (Kit)</t>
  </si>
  <si>
    <t>Unroofed</t>
  </si>
  <si>
    <t>Timber</t>
  </si>
  <si>
    <t>Cost of Development Estimator</t>
  </si>
  <si>
    <t>Staff (Log In)</t>
  </si>
  <si>
    <t>Developer Contributions Calculator (Old Plans)</t>
  </si>
  <si>
    <t>Notes</t>
  </si>
  <si>
    <r>
      <t>Select Specific Development if Applicable (N/A for Non-Specific Development)</t>
    </r>
    <r>
      <rPr>
        <sz val="12"/>
        <color theme="4" tint="-0.499984740745262"/>
        <rFont val="Wingdings"/>
        <charset val="2"/>
      </rPr>
      <t>è</t>
    </r>
  </si>
  <si>
    <r>
      <t xml:space="preserve">Contributions Plan </t>
    </r>
    <r>
      <rPr>
        <sz val="12"/>
        <color theme="4" tint="-0.499984740745262"/>
        <rFont val="Wingdings"/>
        <charset val="2"/>
      </rPr>
      <t>è</t>
    </r>
  </si>
  <si>
    <t>Tamworth Urban</t>
  </si>
  <si>
    <t>Check DA/GIS for Road Catchment Number (1-5)</t>
  </si>
  <si>
    <r>
      <t>Road Catchment (Tamworth Urban Contributions)</t>
    </r>
    <r>
      <rPr>
        <sz val="10"/>
        <color theme="4" tint="-0.499984740745262"/>
        <rFont val="Wingdings"/>
        <charset val="2"/>
      </rPr>
      <t>è</t>
    </r>
  </si>
  <si>
    <t>Tamworth Urban - Forest Hills (Incl Hills Plain &amp; Parry Contributions)</t>
  </si>
  <si>
    <t>Check DA for for sewer and water ET rates as provided by Water &amp; Wastewater and enter the rate in corresponding cells.  If there is no reduction in the rate, enter 1 for the full rate.</t>
  </si>
  <si>
    <r>
      <t xml:space="preserve">2 Bedroom - </t>
    </r>
    <r>
      <rPr>
        <b/>
        <sz val="11"/>
        <color theme="4" tint="-0.499984740745262"/>
        <rFont val="Calibri"/>
        <family val="2"/>
        <scheme val="minor"/>
      </rPr>
      <t>Sewer</t>
    </r>
    <r>
      <rPr>
        <sz val="10"/>
        <color theme="4" tint="-0.499984740745262"/>
        <rFont val="Calibri"/>
        <family val="2"/>
        <scheme val="minor"/>
      </rPr>
      <t xml:space="preserve"> Headworks ET Rate </t>
    </r>
    <r>
      <rPr>
        <sz val="10"/>
        <color theme="4" tint="-0.499984740745262"/>
        <rFont val="Wingdings"/>
        <charset val="2"/>
      </rPr>
      <t>è</t>
    </r>
  </si>
  <si>
    <r>
      <t xml:space="preserve">2 Bedroom </t>
    </r>
    <r>
      <rPr>
        <b/>
        <sz val="11"/>
        <color theme="4" tint="-0.499984740745262"/>
        <rFont val="Calibri"/>
        <family val="2"/>
        <scheme val="minor"/>
      </rPr>
      <t>Water</t>
    </r>
    <r>
      <rPr>
        <sz val="10"/>
        <color theme="4" tint="-0.499984740745262"/>
        <rFont val="Calibri"/>
        <family val="2"/>
        <scheme val="minor"/>
      </rPr>
      <t xml:space="preserve"> Headworks ET Rate </t>
    </r>
    <r>
      <rPr>
        <sz val="10"/>
        <color theme="4" tint="-0.499984740745262"/>
        <rFont val="Wingdings"/>
        <charset val="2"/>
      </rPr>
      <t>è</t>
    </r>
  </si>
  <si>
    <r>
      <t xml:space="preserve">3+ Bedroom - </t>
    </r>
    <r>
      <rPr>
        <b/>
        <sz val="11"/>
        <color theme="4" tint="-0.499984740745262"/>
        <rFont val="Calibri"/>
        <family val="2"/>
        <scheme val="minor"/>
      </rPr>
      <t>Sewer</t>
    </r>
    <r>
      <rPr>
        <sz val="10"/>
        <color theme="4" tint="-0.499984740745262"/>
        <rFont val="Calibri"/>
        <family val="2"/>
        <scheme val="minor"/>
      </rPr>
      <t xml:space="preserve"> Headworks ET Rate</t>
    </r>
    <r>
      <rPr>
        <sz val="10"/>
        <color theme="4" tint="-0.499984740745262"/>
        <rFont val="Wingdings"/>
        <charset val="2"/>
      </rPr>
      <t>è</t>
    </r>
  </si>
  <si>
    <r>
      <t xml:space="preserve">3+ Bedroom </t>
    </r>
    <r>
      <rPr>
        <b/>
        <sz val="11"/>
        <color theme="4" tint="-0.499984740745262"/>
        <rFont val="Calibri"/>
        <family val="2"/>
        <scheme val="minor"/>
      </rPr>
      <t>Water</t>
    </r>
    <r>
      <rPr>
        <sz val="10"/>
        <color theme="4" tint="-0.499984740745262"/>
        <rFont val="Calibri"/>
        <family val="2"/>
        <scheme val="minor"/>
      </rPr>
      <t xml:space="preserve"> Headworks ET Rate </t>
    </r>
    <r>
      <rPr>
        <sz val="10"/>
        <color theme="4" tint="-0.499984740745262"/>
        <rFont val="Wingdings"/>
        <charset val="2"/>
      </rPr>
      <t>è</t>
    </r>
  </si>
  <si>
    <t>Enter the number of lots for 1, 2 or 3+ bedroom development in corresponding cells</t>
  </si>
  <si>
    <r>
      <t>No. of Lots (1 Bedroom Dwellings)</t>
    </r>
    <r>
      <rPr>
        <sz val="10"/>
        <color theme="4" tint="-0.499984740745262"/>
        <rFont val="Wingdings"/>
        <charset val="2"/>
      </rPr>
      <t>è</t>
    </r>
  </si>
  <si>
    <r>
      <t>No. of Lots (1 Bedroom Dwellings on Rural Residential Lots &gt;4000m</t>
    </r>
    <r>
      <rPr>
        <vertAlign val="superscript"/>
        <sz val="10"/>
        <color theme="4" tint="-0.499984740745262"/>
        <rFont val="Calibri"/>
        <family val="2"/>
        <scheme val="minor"/>
      </rPr>
      <t>2)</t>
    </r>
    <r>
      <rPr>
        <vertAlign val="superscript"/>
        <sz val="10"/>
        <color theme="4" tint="-0.499984740745262"/>
        <rFont val="Wingdings"/>
        <charset val="2"/>
      </rPr>
      <t>è</t>
    </r>
  </si>
  <si>
    <r>
      <t>No. of Lots (2 Bedroom Dwellings)</t>
    </r>
    <r>
      <rPr>
        <sz val="10"/>
        <color theme="4" tint="-0.499984740745262"/>
        <rFont val="Wingdings"/>
        <charset val="2"/>
      </rPr>
      <t>è</t>
    </r>
  </si>
  <si>
    <r>
      <t>No. of Lots (2 Bedroom Dwellings on Rural Residential Lots &gt;4000m</t>
    </r>
    <r>
      <rPr>
        <vertAlign val="superscript"/>
        <sz val="10"/>
        <color theme="4" tint="-0.499984740745262"/>
        <rFont val="Calibri"/>
        <family val="2"/>
        <scheme val="minor"/>
      </rPr>
      <t>2)</t>
    </r>
    <r>
      <rPr>
        <vertAlign val="superscript"/>
        <sz val="10"/>
        <color theme="4" tint="-0.499984740745262"/>
        <rFont val="Wingdings"/>
        <charset val="2"/>
      </rPr>
      <t>è</t>
    </r>
  </si>
  <si>
    <r>
      <t>No. of Lots (3+ Bedroom Dwellings)</t>
    </r>
    <r>
      <rPr>
        <sz val="10"/>
        <color theme="4" tint="-0.499984740745262"/>
        <rFont val="Wingdings"/>
        <charset val="2"/>
      </rPr>
      <t>è</t>
    </r>
  </si>
  <si>
    <r>
      <t>No. of Lots (3+ Bedroom Dwellings on Rural Residential Lots &gt;4000m</t>
    </r>
    <r>
      <rPr>
        <vertAlign val="superscript"/>
        <sz val="10"/>
        <color theme="4" tint="-0.499984740745262"/>
        <rFont val="Calibri"/>
        <family val="2"/>
        <scheme val="minor"/>
      </rPr>
      <t>2)</t>
    </r>
    <r>
      <rPr>
        <vertAlign val="superscript"/>
        <sz val="10"/>
        <color theme="4" tint="-0.499984740745262"/>
        <rFont val="Wingdings"/>
        <charset val="2"/>
      </rPr>
      <t>è</t>
    </r>
  </si>
  <si>
    <r>
      <t>No. of Lots</t>
    </r>
    <r>
      <rPr>
        <sz val="10"/>
        <color theme="4" tint="-0.499984740745262"/>
        <rFont val="Wingdings"/>
        <charset val="2"/>
      </rPr>
      <t>è</t>
    </r>
  </si>
  <si>
    <t>Open Space Embellishment</t>
  </si>
  <si>
    <t>Community Facilities</t>
  </si>
  <si>
    <t>Cycleway Network</t>
  </si>
  <si>
    <t>Urban Roads 1-4</t>
  </si>
  <si>
    <t>Urban Roads 5</t>
  </si>
  <si>
    <t>Admin Studies</t>
  </si>
  <si>
    <t>Roads &amp; Bridges</t>
  </si>
  <si>
    <t>Studies</t>
  </si>
  <si>
    <t>Rural Roads</t>
  </si>
  <si>
    <t>269 yes</t>
  </si>
  <si>
    <t>Rural Fire Brigade (Bushfire)</t>
  </si>
  <si>
    <t xml:space="preserve">Active Open Space </t>
  </si>
  <si>
    <t>Passive Open Space</t>
  </si>
  <si>
    <t>Water Headworks</t>
  </si>
  <si>
    <t>Sewer Headworks</t>
  </si>
  <si>
    <t>Low Pressure Sewer</t>
  </si>
  <si>
    <t>Water DSP (Hills Plain)</t>
  </si>
  <si>
    <t>Pipe Contribution (Main)</t>
  </si>
  <si>
    <t>Water Contribution (Landscaping)</t>
  </si>
  <si>
    <t>Parry</t>
  </si>
  <si>
    <t>Tamworth Urban - Moore Ck Catchment</t>
  </si>
  <si>
    <t>Open Space 3 Bed</t>
  </si>
  <si>
    <t>Open Space 2 Bed</t>
  </si>
  <si>
    <t>Community 3 Bed</t>
  </si>
  <si>
    <t>Community 2 Bed</t>
  </si>
  <si>
    <t>Cycleway 3 Bed</t>
  </si>
  <si>
    <t>Cycleway 2 Bed</t>
  </si>
  <si>
    <t>Urban Road 1-4 3 Bed</t>
  </si>
  <si>
    <t>Urban Road 1-4 2 Bed</t>
  </si>
  <si>
    <t>Urban Road 5 3 Bed</t>
  </si>
  <si>
    <t>Urban Road 5 2 Bed</t>
  </si>
  <si>
    <t>Active OS</t>
  </si>
  <si>
    <t>Passive OS</t>
  </si>
  <si>
    <t>WaterH</t>
  </si>
  <si>
    <t>SewerH</t>
  </si>
  <si>
    <t>LowPressS</t>
  </si>
  <si>
    <t>PipeCont</t>
  </si>
  <si>
    <t>WaterContLandsc</t>
  </si>
  <si>
    <t>Roundabout</t>
  </si>
  <si>
    <t>Hills Plain East - Forest Road Catchment (Water)</t>
  </si>
  <si>
    <t>Hills Plain East - Moore Ck/Manilla Rd Catchment (Water)</t>
  </si>
  <si>
    <t>Manilla</t>
  </si>
  <si>
    <t>Tamworth Lifestyle Village (Warral Road)</t>
  </si>
  <si>
    <t>Mulconda Retirement Village (Johnson Street)</t>
  </si>
  <si>
    <t>Tamworth Urban - Forest Hills Catchment (Incl Hills Plain &amp; Parry Contributions)</t>
  </si>
  <si>
    <t>Tamworth Urban - Moore Ck Catchment (Incl Hills Plain &amp; Parry Contributions)</t>
  </si>
  <si>
    <t>Lampada Estate  DA0041/1999 (Old Tamworth Plan &lt;1 August 2005)</t>
  </si>
  <si>
    <t>Lampada Estate  DA0204/1996 (Old Tamworth Plan &lt;1 August 2005)</t>
  </si>
  <si>
    <t>Tamworth Lifestyle Village (Warral Road) - ET's</t>
  </si>
  <si>
    <t>1_4</t>
  </si>
  <si>
    <t>1 Bedroom Dwelling</t>
  </si>
  <si>
    <t>2 Bedroom Dwelling</t>
  </si>
  <si>
    <t>3/4 Bedroom Dwelling</t>
  </si>
  <si>
    <t>WaterH ET</t>
  </si>
  <si>
    <t>SewerH ET</t>
  </si>
  <si>
    <t>Lampada Estate (Old Tamworth Plan &lt;1 August 2005)</t>
  </si>
  <si>
    <t>Landscape ET</t>
  </si>
  <si>
    <t>Mulconda  - ET's</t>
  </si>
  <si>
    <t>3 Bedroom Dwelling</t>
  </si>
  <si>
    <t>TUCarparking</t>
  </si>
  <si>
    <t>TUCycle</t>
  </si>
  <si>
    <t>TUOpenEmb</t>
  </si>
  <si>
    <t>TUOpenAqu</t>
  </si>
  <si>
    <t>TURoad1</t>
  </si>
  <si>
    <t>TURoad2</t>
  </si>
  <si>
    <t>TURoad3</t>
  </si>
  <si>
    <t>TURoad4</t>
  </si>
  <si>
    <t>TURoad5</t>
  </si>
  <si>
    <t>TUAdmin</t>
  </si>
  <si>
    <t>TamOpen</t>
  </si>
  <si>
    <t>TamCom</t>
  </si>
  <si>
    <t>TamCycle</t>
  </si>
  <si>
    <t>TamWat</t>
  </si>
  <si>
    <t>TamSew</t>
  </si>
  <si>
    <t>ParryBush</t>
  </si>
  <si>
    <t>ParryMines</t>
  </si>
  <si>
    <t>ParryRuralInd</t>
  </si>
  <si>
    <t>ParryRuralRoad</t>
  </si>
  <si>
    <t>ParryWat</t>
  </si>
  <si>
    <t>ParrySewer</t>
  </si>
  <si>
    <t>HPCom</t>
  </si>
  <si>
    <t>HPR&amp;B</t>
  </si>
  <si>
    <t>HPWatDSP</t>
  </si>
  <si>
    <t>HPSewerDSP</t>
  </si>
  <si>
    <t>HPLPSC</t>
  </si>
  <si>
    <t>HPLPSM</t>
  </si>
  <si>
    <t>ManBush</t>
  </si>
  <si>
    <t>ManActOS</t>
  </si>
  <si>
    <t>ManPassOS</t>
  </si>
  <si>
    <t>ManWater</t>
  </si>
  <si>
    <t>ManSewer</t>
  </si>
  <si>
    <t>Lifestyle</t>
  </si>
  <si>
    <t>SubCategory = Tamworth Urban|Value Field = 1 |TUCarPark</t>
  </si>
  <si>
    <t>SubCategory = Tamworth Urban|Value Field = 2 |TUCommFac</t>
  </si>
  <si>
    <t>SubCategory = Tamworth Urban|Value Field = 3 |TUCycleway</t>
  </si>
  <si>
    <t>SubCategory = Tamworth Urban|Value Field = 4 |TUOpenSpEm</t>
  </si>
  <si>
    <t>SubCategory = Tamworth Urban|Value Field = 5 |TUOpenSpAq</t>
  </si>
  <si>
    <t>SubCategory = Tamworth Urban|Value Field = 6-9 |TURoadCat*</t>
  </si>
  <si>
    <t>SubCategory = Tamworth Urban|Value Field = 10 |TURoadCat5</t>
  </si>
  <si>
    <t>SubCategory = Tamworth Urban|Value Field = 11 |TUAdminStu</t>
  </si>
  <si>
    <t>SubCategory = Tamworth/Tamworth Urban|Value Field = 15 |TWaterH</t>
  </si>
  <si>
    <t>SubCategory = Tamworth/Tamworth Urban|Value Field = 16 |TSewerH</t>
  </si>
  <si>
    <t>Hills Plain</t>
  </si>
  <si>
    <t>SubCategory = Hills Plain East|Value Field = 27 |HPDSPSew</t>
  </si>
  <si>
    <t>SubCategory =  Hills Plain East|Value Field = 23 |HPComm</t>
  </si>
  <si>
    <t>SubCategory =  Hills Plain East|Value Field = 24 |HPRoadBr</t>
  </si>
  <si>
    <t>SubCategory =  Hills Plain East|Value Field = 25 |HPStudies</t>
  </si>
  <si>
    <t>SubCategory =  Hills Plain East|Value Field = 26 |HPWaterDSP</t>
  </si>
  <si>
    <t>SubCategory =  Hills Plain East|Value Field = 27 |HPDSPSew</t>
  </si>
  <si>
    <t>SubCategory =  Hills Plain East|Value Field = 28 |HPLowSew</t>
  </si>
  <si>
    <t>SubCategory =  Hills Plain East|Value Field = 29 |HPLPSewP</t>
  </si>
  <si>
    <t>SubCategory =  Parry|Value Field = 21 |KootWaterH</t>
  </si>
  <si>
    <t>SubCategory =  Parry|Value Field = 22 |KootSewerH</t>
  </si>
  <si>
    <t>SubCategory =  Parry|Value Field = 17 |Pbushfire</t>
  </si>
  <si>
    <t>SubCategory =  Parry|Value Field = 18 |PMineExIn</t>
  </si>
  <si>
    <t>SubCategory =  Parry|Value Field = 19 |PRuralInd</t>
  </si>
  <si>
    <t>SubCategory =  Parry|Value Field = 20 |PRuralRoad</t>
  </si>
  <si>
    <t>SubCategory = Manilla|Value Field = 33 |MWaterH</t>
  </si>
  <si>
    <t>SubCategory =  Manilla|Value Field = 34 |MSewerH</t>
  </si>
  <si>
    <t>SubCategory =  Manilla|Value Field = 30 |Mbushfire</t>
  </si>
  <si>
    <t>SubCategory =  Manilla|Value Field = 31|MOpenSpAc</t>
  </si>
  <si>
    <t>SubCategory =  Manilla|Value Field = 32 |MOpenSpPas</t>
  </si>
  <si>
    <t>SubCategory =  Manilla|Value Field = 33|MWaterH</t>
  </si>
  <si>
    <t>Tamworth Urban - Forest Hills Catchment</t>
  </si>
  <si>
    <t>SubCategory =  Tamworth Urban|Value Field = 35 |TUWatLandS</t>
  </si>
  <si>
    <t>SubCategory = Tamworth|Value Field = 13|TCommFac</t>
  </si>
  <si>
    <t>SubCategory = Tamworth|Value Field = 14 |Tcycleway</t>
  </si>
  <si>
    <t>SubCategory = Tamworth|Value Field = 12 |TOpenSp</t>
  </si>
  <si>
    <t>SubCategory = Tamworth|Value Field 12 |TOpenSp</t>
  </si>
  <si>
    <t>SubCategory = Tamworth|Value Field 13|TCommFac</t>
  </si>
  <si>
    <t>SubCategory = Tamworth|Value Field 14|Tcycleway</t>
  </si>
  <si>
    <t>SubCategory = Tamworth|Value Field = 15|TWaterH</t>
  </si>
  <si>
    <t>SubCategory = Tamworth|Value Field = 16 |TSewerH</t>
  </si>
  <si>
    <t>SubCategory = Tamworth Urban|Value Field = 8 |TURoadCat3</t>
  </si>
  <si>
    <t>SubCategory = Tamworth Urban|Value Field = 9 TURoadCat4</t>
  </si>
  <si>
    <t>Fee Calculator</t>
  </si>
  <si>
    <t>Lodgement Checklist</t>
  </si>
  <si>
    <t>Display All</t>
  </si>
  <si>
    <t>2017/18 Developer Contributions Calculator</t>
  </si>
  <si>
    <t>Old Contributions Calculator</t>
  </si>
  <si>
    <t>BAL Calculator</t>
  </si>
  <si>
    <t>Public</t>
  </si>
  <si>
    <t>Select Access</t>
  </si>
  <si>
    <t>LOGIN Password</t>
  </si>
  <si>
    <t>Select Tool</t>
  </si>
  <si>
    <t>P&amp;R Charges Index</t>
  </si>
  <si>
    <t>Development Tools</t>
  </si>
  <si>
    <t>Quick links to Tools</t>
  </si>
  <si>
    <t>Subdivision Fee (DA)</t>
  </si>
  <si>
    <t>APPLICATION LODGEMENT CHECKLIST</t>
  </si>
  <si>
    <t>Desk Top Assessment</t>
  </si>
  <si>
    <t>Site Inspection</t>
  </si>
  <si>
    <t>Development Type</t>
  </si>
  <si>
    <t>Land Use</t>
  </si>
  <si>
    <t>Solution</t>
  </si>
  <si>
    <t>Determination</t>
  </si>
  <si>
    <t>Proposal</t>
  </si>
  <si>
    <t>North</t>
  </si>
  <si>
    <t>Upslope</t>
  </si>
  <si>
    <t>Downslope</t>
  </si>
  <si>
    <t>Vegetation Type</t>
  </si>
  <si>
    <t>0°</t>
  </si>
  <si>
    <r>
      <t>&gt; 0</t>
    </r>
    <r>
      <rPr>
        <sz val="11"/>
        <color theme="1"/>
        <rFont val="Symbol"/>
        <family val="1"/>
        <charset val="2"/>
      </rPr>
      <t>°</t>
    </r>
    <r>
      <rPr>
        <sz val="10"/>
        <rFont val="Arial"/>
        <family val="2"/>
      </rPr>
      <t xml:space="preserve"> to 5°</t>
    </r>
  </si>
  <si>
    <t>&gt;5° to 10°</t>
  </si>
  <si>
    <t xml:space="preserve"> &gt;10° to 15° </t>
  </si>
  <si>
    <t xml:space="preserve"> &gt;15° to 18°</t>
  </si>
  <si>
    <r>
      <rPr>
        <sz val="13"/>
        <rFont val="Calibri"/>
        <family val="2"/>
        <scheme val="minor"/>
      </rPr>
      <t>Forests</t>
    </r>
    <r>
      <rPr>
        <sz val="14"/>
        <rFont val="Calibri"/>
        <family val="2"/>
        <scheme val="minor"/>
      </rPr>
      <t xml:space="preserve">     </t>
    </r>
    <r>
      <rPr>
        <sz val="10"/>
        <rFont val="Calibri"/>
        <family val="2"/>
        <scheme val="minor"/>
      </rPr>
      <t>Distance from Site</t>
    </r>
  </si>
  <si>
    <t>Forests</t>
  </si>
  <si>
    <t xml:space="preserve">ATTACK LEVEL   </t>
  </si>
  <si>
    <t xml:space="preserve">Forest  APZ </t>
  </si>
  <si>
    <t>Forest  IPA</t>
  </si>
  <si>
    <t>Forest  OPA</t>
  </si>
  <si>
    <t>Woodlands</t>
  </si>
  <si>
    <t>Pine Plantation  APZ</t>
  </si>
  <si>
    <t>Pine Plantation  IPA</t>
  </si>
  <si>
    <t>Pine Plantation  OPA</t>
  </si>
  <si>
    <r>
      <rPr>
        <sz val="13"/>
        <rFont val="Calibri"/>
        <family val="2"/>
        <scheme val="minor"/>
      </rPr>
      <t>Woodlands</t>
    </r>
    <r>
      <rPr>
        <sz val="14"/>
        <rFont val="Calibri"/>
        <family val="2"/>
        <scheme val="minor"/>
      </rPr>
      <t xml:space="preserve"> </t>
    </r>
    <r>
      <rPr>
        <sz val="10"/>
        <rFont val="Calibri"/>
        <family val="2"/>
        <scheme val="minor"/>
      </rPr>
      <t>Distance from Site</t>
    </r>
  </si>
  <si>
    <t>Shrubland</t>
  </si>
  <si>
    <t>APZ</t>
  </si>
  <si>
    <t>IPA</t>
  </si>
  <si>
    <t>OPA</t>
  </si>
  <si>
    <t>Scrub</t>
  </si>
  <si>
    <r>
      <rPr>
        <sz val="13"/>
        <rFont val="Calibri"/>
        <family val="2"/>
        <scheme val="minor"/>
      </rPr>
      <t>Shrubland</t>
    </r>
    <r>
      <rPr>
        <sz val="14"/>
        <rFont val="Calibri"/>
        <family val="2"/>
        <scheme val="minor"/>
      </rPr>
      <t xml:space="preserve"> </t>
    </r>
    <r>
      <rPr>
        <sz val="10"/>
        <rFont val="Calibri"/>
        <family val="2"/>
        <scheme val="minor"/>
      </rPr>
      <t>Distance from Site</t>
    </r>
  </si>
  <si>
    <t>Grassland</t>
  </si>
  <si>
    <t xml:space="preserve"> APZ</t>
  </si>
  <si>
    <r>
      <rPr>
        <sz val="13"/>
        <rFont val="Calibri"/>
        <family val="2"/>
        <scheme val="minor"/>
      </rPr>
      <t>Scrub</t>
    </r>
    <r>
      <rPr>
        <sz val="14"/>
        <rFont val="Calibri"/>
        <family val="2"/>
        <scheme val="minor"/>
      </rPr>
      <t xml:space="preserve">       </t>
    </r>
    <r>
      <rPr>
        <sz val="10"/>
        <rFont val="Calibri"/>
        <family val="2"/>
        <scheme val="minor"/>
      </rPr>
      <t>Distance from Site</t>
    </r>
  </si>
  <si>
    <t>Tall Heath (Scrub)  APZ</t>
  </si>
  <si>
    <t>Tall Heath (Scrub)  IPA</t>
  </si>
  <si>
    <t>Tall Heath (Scrub)  OPA</t>
  </si>
  <si>
    <t>Short Heath (Open Scrub)  APZ</t>
  </si>
  <si>
    <t>Short Heath (Open Scrub)  IPA</t>
  </si>
  <si>
    <t>Short Heath (Open Scrub)  OPA</t>
  </si>
  <si>
    <r>
      <rPr>
        <sz val="13"/>
        <rFont val="Calibri"/>
        <family val="2"/>
        <scheme val="minor"/>
      </rPr>
      <t>Grassland</t>
    </r>
    <r>
      <rPr>
        <sz val="14"/>
        <rFont val="Calibri"/>
        <family val="2"/>
        <scheme val="minor"/>
      </rPr>
      <t xml:space="preserve">   </t>
    </r>
    <r>
      <rPr>
        <sz val="10"/>
        <rFont val="Calibri"/>
        <family val="2"/>
        <scheme val="minor"/>
      </rPr>
      <t>Distance from Site</t>
    </r>
  </si>
  <si>
    <t>Managed Land</t>
  </si>
  <si>
    <t>East</t>
  </si>
  <si>
    <t>Forest  APZ</t>
  </si>
  <si>
    <t>West</t>
  </si>
  <si>
    <t>South</t>
  </si>
  <si>
    <t>Click on Summary Below &amp; Paste Special as a Picture in Word BAL Assessment Report</t>
  </si>
  <si>
    <t>BALFZ</t>
  </si>
  <si>
    <r>
      <t>&gt; 0</t>
    </r>
    <r>
      <rPr>
        <sz val="10"/>
        <color theme="1"/>
        <rFont val="Symbol"/>
        <family val="1"/>
        <charset val="2"/>
      </rPr>
      <t>°</t>
    </r>
    <r>
      <rPr>
        <sz val="10"/>
        <color theme="1"/>
        <rFont val="Calibri"/>
        <family val="2"/>
        <scheme val="minor"/>
      </rPr>
      <t xml:space="preserve"> to 5°</t>
    </r>
  </si>
  <si>
    <t>BAL40</t>
  </si>
  <si>
    <t>Distance</t>
  </si>
  <si>
    <t>Attack Level</t>
  </si>
  <si>
    <t>BAL29</t>
  </si>
  <si>
    <t>BAL19</t>
  </si>
  <si>
    <t>BAL12.5</t>
  </si>
  <si>
    <t>&lt;16</t>
  </si>
  <si>
    <t>&lt;10</t>
  </si>
  <si>
    <t>&lt;7</t>
  </si>
  <si>
    <t>&lt;6</t>
  </si>
  <si>
    <t>16&lt;21</t>
  </si>
  <si>
    <t>10&lt;14</t>
  </si>
  <si>
    <t>7&lt;9</t>
  </si>
  <si>
    <t>10&lt;13</t>
  </si>
  <si>
    <t>6&lt;8</t>
  </si>
  <si>
    <t>21&lt;31</t>
  </si>
  <si>
    <t>14&lt;20</t>
  </si>
  <si>
    <t>9&lt;13</t>
  </si>
  <si>
    <t>13&lt;19</t>
  </si>
  <si>
    <t>8&lt;12</t>
  </si>
  <si>
    <t>31&lt;42</t>
  </si>
  <si>
    <t>20&lt;29</t>
  </si>
  <si>
    <t>19&lt;27</t>
  </si>
  <si>
    <t>13&lt;17</t>
  </si>
  <si>
    <t>42&lt;100</t>
  </si>
  <si>
    <t>29&lt;100</t>
  </si>
  <si>
    <t>19&lt;100</t>
  </si>
  <si>
    <t>27&lt;100</t>
  </si>
  <si>
    <t>17&lt;50</t>
  </si>
  <si>
    <t>&lt;20</t>
  </si>
  <si>
    <t>&lt;13</t>
  </si>
  <si>
    <t>&lt;11</t>
  </si>
  <si>
    <t>20&lt;27</t>
  </si>
  <si>
    <t>7&lt;10</t>
  </si>
  <si>
    <t>11&lt;15</t>
  </si>
  <si>
    <t>27&lt;37</t>
  </si>
  <si>
    <t>17&lt;25</t>
  </si>
  <si>
    <t>10&lt;15</t>
  </si>
  <si>
    <t>15&lt;22</t>
  </si>
  <si>
    <t>9&lt;14</t>
  </si>
  <si>
    <t>37&lt;50</t>
  </si>
  <si>
    <t>25&lt;35</t>
  </si>
  <si>
    <t>22&lt;31</t>
  </si>
  <si>
    <t>50&lt;100</t>
  </si>
  <si>
    <t>35&lt;100</t>
  </si>
  <si>
    <t>22&lt;100</t>
  </si>
  <si>
    <t>31&lt;100</t>
  </si>
  <si>
    <t>20&lt;50</t>
  </si>
  <si>
    <t>&lt;26</t>
  </si>
  <si>
    <t>&lt;8</t>
  </si>
  <si>
    <t>&lt;12</t>
  </si>
  <si>
    <t>26&lt;33</t>
  </si>
  <si>
    <t>16&lt;22</t>
  </si>
  <si>
    <t>8&lt;11</t>
  </si>
  <si>
    <t>12&lt;17</t>
  </si>
  <si>
    <t>8&lt;10</t>
  </si>
  <si>
    <t>Single Dwelling</t>
  </si>
  <si>
    <t>33&lt;46</t>
  </si>
  <si>
    <t>11&lt;17</t>
  </si>
  <si>
    <t>17&lt;24</t>
  </si>
  <si>
    <t>10&lt;16</t>
  </si>
  <si>
    <t>Woodland (Grassy)</t>
  </si>
  <si>
    <t>Alterations/Additions</t>
  </si>
  <si>
    <t>46&lt;61</t>
  </si>
  <si>
    <t>31&lt;43</t>
  </si>
  <si>
    <t>24&lt;35</t>
  </si>
  <si>
    <t>16&lt;23</t>
  </si>
  <si>
    <t>Plantations (Pine)</t>
  </si>
  <si>
    <t>61&lt;100</t>
  </si>
  <si>
    <t>43&lt;100</t>
  </si>
  <si>
    <t>25&lt;100</t>
  </si>
  <si>
    <t>23&lt;50</t>
  </si>
  <si>
    <t>Tall Heath (Scrub</t>
  </si>
  <si>
    <t>Short Heath (Open Scrub)</t>
  </si>
  <si>
    <t>Acceptable</t>
  </si>
  <si>
    <t>Semi-Arid (Woodland)</t>
  </si>
  <si>
    <t>Alternate</t>
  </si>
  <si>
    <t>&lt;33</t>
  </si>
  <si>
    <t>&lt;21</t>
  </si>
  <si>
    <t>&lt;9</t>
  </si>
  <si>
    <t>&lt;14</t>
  </si>
  <si>
    <t>Arid Shrubland</t>
  </si>
  <si>
    <t>Combination</t>
  </si>
  <si>
    <t>33&lt;42</t>
  </si>
  <si>
    <t>21&lt;28</t>
  </si>
  <si>
    <t>14&lt;19</t>
  </si>
  <si>
    <t>9&lt;12</t>
  </si>
  <si>
    <t>Imposed</t>
  </si>
  <si>
    <t>42&lt;56</t>
  </si>
  <si>
    <t>28&lt;39</t>
  </si>
  <si>
    <t>19&lt;28</t>
  </si>
  <si>
    <t>12&lt;18</t>
  </si>
  <si>
    <t>56&lt;73</t>
  </si>
  <si>
    <t>39&lt;53</t>
  </si>
  <si>
    <t>18&lt;26</t>
  </si>
  <si>
    <t>Upslope/Flat</t>
  </si>
  <si>
    <t>Urban</t>
  </si>
  <si>
    <t>73&lt;100</t>
  </si>
  <si>
    <t>53&lt;100</t>
  </si>
  <si>
    <t>28&lt;100</t>
  </si>
  <si>
    <t>39&lt;100</t>
  </si>
  <si>
    <t>26&lt;50</t>
  </si>
  <si>
    <t>&gt;0°-5°</t>
  </si>
  <si>
    <t>Rural Residential</t>
  </si>
  <si>
    <t>&gt;5°-10°</t>
  </si>
  <si>
    <t>Isolated Rural</t>
  </si>
  <si>
    <t>&gt;10°-15°</t>
  </si>
  <si>
    <t>Industrial</t>
  </si>
  <si>
    <t>&lt;42</t>
  </si>
  <si>
    <t>&lt;27</t>
  </si>
  <si>
    <t>&lt;15</t>
  </si>
  <si>
    <t>&gt;15°-18°</t>
  </si>
  <si>
    <t>42&lt;52</t>
  </si>
  <si>
    <t>27&lt;35</t>
  </si>
  <si>
    <t>15&lt;21</t>
  </si>
  <si>
    <t>Other</t>
  </si>
  <si>
    <t>52&lt;68</t>
  </si>
  <si>
    <t>35&lt;48</t>
  </si>
  <si>
    <t>14&lt;21</t>
  </si>
  <si>
    <t>68&lt;87</t>
  </si>
  <si>
    <t>48&lt;64</t>
  </si>
  <si>
    <t>21&lt;30</t>
  </si>
  <si>
    <t>Unconditional Approval</t>
  </si>
  <si>
    <t>87&lt;100</t>
  </si>
  <si>
    <t>64&lt;100</t>
  </si>
  <si>
    <t>30&lt;50</t>
  </si>
  <si>
    <t>Conditional Approval</t>
  </si>
  <si>
    <t>Refusal Recommended</t>
  </si>
  <si>
    <t>Fee Estimate</t>
  </si>
  <si>
    <t xml:space="preserve">Fee Quote </t>
  </si>
  <si>
    <t xml:space="preserve">Checklist </t>
  </si>
  <si>
    <t xml:space="preserve">Cost of Development Estimate </t>
  </si>
  <si>
    <t xml:space="preserve">Developer Contributions Quote </t>
  </si>
  <si>
    <t xml:space="preserve">BAL Index </t>
  </si>
  <si>
    <t>A fee may be required to purchase a Certificate of Title if the certificate is not supplied with the application for Complying Development</t>
  </si>
  <si>
    <t>Variables!B126</t>
  </si>
  <si>
    <t>Variables!B127</t>
  </si>
  <si>
    <t>Variables!B128</t>
  </si>
  <si>
    <t>Variables!B129</t>
  </si>
  <si>
    <t>Variables!B130</t>
  </si>
  <si>
    <t>Variables!B131</t>
  </si>
  <si>
    <t>Variables!B132</t>
  </si>
  <si>
    <t>Variables!B133</t>
  </si>
  <si>
    <t>Variables!B135</t>
  </si>
  <si>
    <t>Variables!B136</t>
  </si>
  <si>
    <t>Inspection Fees</t>
  </si>
  <si>
    <t>0-$20000</t>
  </si>
  <si>
    <t>$20001 - $50000</t>
  </si>
  <si>
    <t>$50001 - $10000</t>
  </si>
  <si>
    <t>$100001 - $250000</t>
  </si>
  <si>
    <t>$250001 - $400000</t>
  </si>
  <si>
    <t>$400001 - $500000</t>
  </si>
  <si>
    <t>&gt;$500001</t>
  </si>
  <si>
    <t>0 - $100000</t>
  </si>
  <si>
    <t>&gt;$1000001</t>
  </si>
  <si>
    <t>$250001 - $1000000</t>
  </si>
  <si>
    <t>Per Inspection (Additional)</t>
  </si>
  <si>
    <t>Variables!B137</t>
  </si>
  <si>
    <t>Variables!B138</t>
  </si>
  <si>
    <t>Variables!B139</t>
  </si>
  <si>
    <t>Estimated Cost of Development</t>
  </si>
  <si>
    <t>Type of Development</t>
  </si>
  <si>
    <t>Muti-Storey Development</t>
  </si>
  <si>
    <t>No. of Additional Signs</t>
  </si>
  <si>
    <t>INSPECTIONS</t>
  </si>
  <si>
    <t>Stephanie Walsh</t>
  </si>
  <si>
    <t>Commercial/Residential</t>
  </si>
  <si>
    <t>Critical Stage Parameters</t>
  </si>
  <si>
    <t>Critical Stage Amounts</t>
  </si>
  <si>
    <t>&lt;&lt; - Permit Required If Sand Filtration System Used or a New Yard Gully Required</t>
  </si>
  <si>
    <t>&lt;&lt; - Includes Sewer Permit</t>
  </si>
  <si>
    <t>Swimming Pool Install</t>
  </si>
  <si>
    <t>Permits</t>
  </si>
  <si>
    <t>S68 Inspections</t>
  </si>
  <si>
    <t>Variables!B97</t>
  </si>
  <si>
    <t>Upgrade Residential</t>
  </si>
  <si>
    <t>Upgrade Commercial</t>
  </si>
  <si>
    <t>OSSM Install Residential</t>
  </si>
  <si>
    <t>OSSM Install Commercial</t>
  </si>
  <si>
    <t>Inspections</t>
  </si>
  <si>
    <t>Single Storey</t>
  </si>
  <si>
    <t>Multi Storey</t>
  </si>
  <si>
    <t>Transportable Dwelling</t>
  </si>
  <si>
    <t xml:space="preserve">Section 68 Application/Plumbing  Permit </t>
  </si>
  <si>
    <t>IF SEWER CONNECTION REQUIRES CAPPING A SECTION 68 APPLICATION/PLUMBING PERMIT (SEWER) IS REQUIRED</t>
  </si>
  <si>
    <t>FINAL/OCCUPATION INSPECTION FEE OF $87 APPLIED</t>
  </si>
  <si>
    <t xml:space="preserve">PLUMBING WORKS REQUIRE SECTION 68 APPLICATION/PLUMBING PERMITS </t>
  </si>
  <si>
    <t xml:space="preserve">PLUMBING WORKS REQUIRE SECTION 68 APPLICATION/PERMITS </t>
  </si>
  <si>
    <t xml:space="preserve">A SECTION 68 APPLICATION/PLUMBING PERMIT FOR SEWER IS REQUIRED FOR SAND FILTRATION SYSTEMS OR TO INSTALL A NEW YARD GULLY </t>
  </si>
  <si>
    <t>SECTION 68 APPLICATION/PLUMBING PERMITS NOT REQUIRED</t>
  </si>
  <si>
    <t>Freestanding Sign Requires Concrete Footing</t>
  </si>
  <si>
    <r>
      <rPr>
        <b/>
        <sz val="11"/>
        <color theme="0"/>
        <rFont val="Calibri"/>
        <family val="2"/>
        <scheme val="minor"/>
      </rPr>
      <t>If Subdivision</t>
    </r>
    <r>
      <rPr>
        <b/>
        <sz val="9"/>
        <color theme="0"/>
        <rFont val="Calibri"/>
        <family val="2"/>
        <scheme val="minor"/>
      </rPr>
      <t xml:space="preserve"> </t>
    </r>
    <r>
      <rPr>
        <sz val="9"/>
        <color theme="0"/>
        <rFont val="Calibri"/>
        <family val="2"/>
        <scheme val="minor"/>
      </rPr>
      <t>- Type of Subdivision</t>
    </r>
  </si>
  <si>
    <r>
      <t xml:space="preserve">                           </t>
    </r>
    <r>
      <rPr>
        <sz val="9"/>
        <color theme="0"/>
        <rFont val="Calibri"/>
        <family val="2"/>
        <scheme val="minor"/>
      </rPr>
      <t>No of New Lots (Subdivision)</t>
    </r>
    <r>
      <rPr>
        <sz val="8"/>
        <color theme="0"/>
        <rFont val="Calibri"/>
        <family val="2"/>
        <scheme val="minor"/>
      </rPr>
      <t xml:space="preserve">
</t>
    </r>
    <r>
      <rPr>
        <sz val="6"/>
        <color theme="0"/>
        <rFont val="Calibri"/>
        <family val="2"/>
        <scheme val="minor"/>
      </rPr>
      <t>Not including original Lot (ie subdivision to create 2 lots will result in one new Lot)</t>
    </r>
  </si>
  <si>
    <r>
      <t xml:space="preserve">NOTE: </t>
    </r>
    <r>
      <rPr>
        <i/>
        <sz val="10"/>
        <color rgb="FFFF0000"/>
        <rFont val="Calibri"/>
        <family val="2"/>
        <scheme val="minor"/>
      </rPr>
      <t>RED</t>
    </r>
    <r>
      <rPr>
        <i/>
        <sz val="10"/>
        <color theme="4" tint="-0.499984740745262"/>
        <rFont val="Calibri"/>
        <family val="2"/>
        <scheme val="minor"/>
      </rPr>
      <t xml:space="preserve"> HIGHLIGHTED BOXES REQUIRE A VALUE</t>
    </r>
  </si>
  <si>
    <r>
      <rPr>
        <sz val="9"/>
        <color theme="4" tint="-0.499984740745262"/>
        <rFont val="Calibri"/>
        <family val="2"/>
        <scheme val="minor"/>
      </rPr>
      <t xml:space="preserve">No. of A4/A3 pages </t>
    </r>
    <r>
      <rPr>
        <sz val="7"/>
        <color rgb="FFFF0000"/>
        <rFont val="Calibri"/>
        <family val="2"/>
        <scheme val="minor"/>
      </rPr>
      <t>(@ $1.50 per page (&lt; 50) @$2.00 per page (&gt;50)</t>
    </r>
  </si>
  <si>
    <r>
      <rPr>
        <sz val="8"/>
        <color theme="4" tint="-0.499984740745262"/>
        <rFont val="Calibri"/>
        <family val="2"/>
        <scheme val="minor"/>
      </rPr>
      <t>N</t>
    </r>
    <r>
      <rPr>
        <sz val="9"/>
        <color theme="4" tint="-0.499984740745262"/>
        <rFont val="Calibri"/>
        <family val="2"/>
        <scheme val="minor"/>
      </rPr>
      <t>o. of pages &gt;A3</t>
    </r>
    <r>
      <rPr>
        <sz val="9"/>
        <rFont val="Calibri"/>
        <family val="2"/>
        <scheme val="minor"/>
      </rPr>
      <t xml:space="preserve"> </t>
    </r>
    <r>
      <rPr>
        <sz val="7"/>
        <color rgb="FFFF0000"/>
        <rFont val="Calibri"/>
        <family val="2"/>
        <scheme val="minor"/>
      </rPr>
      <t>(@ $10.00 per page)</t>
    </r>
  </si>
  <si>
    <t>WATER</t>
  </si>
  <si>
    <t>SEWER</t>
  </si>
  <si>
    <t>STORMWATER</t>
  </si>
  <si>
    <r>
      <rPr>
        <b/>
        <i/>
        <sz val="9"/>
        <color theme="0"/>
        <rFont val="Calibri"/>
        <family val="2"/>
        <scheme val="minor"/>
      </rPr>
      <t xml:space="preserve">Install New </t>
    </r>
    <r>
      <rPr>
        <sz val="9"/>
        <color theme="0"/>
        <rFont val="Calibri"/>
        <family val="2"/>
        <scheme val="minor"/>
      </rPr>
      <t>SEPTIC SYSTEM</t>
    </r>
  </si>
  <si>
    <r>
      <t xml:space="preserve">Upgrade </t>
    </r>
    <r>
      <rPr>
        <b/>
        <i/>
        <sz val="9"/>
        <color theme="0"/>
        <rFont val="Calibri"/>
        <family val="2"/>
        <scheme val="minor"/>
      </rPr>
      <t>Existing</t>
    </r>
    <r>
      <rPr>
        <sz val="9"/>
        <color theme="0"/>
        <rFont val="Calibri"/>
        <family val="2"/>
        <scheme val="minor"/>
      </rPr>
      <t xml:space="preserve"> SEPTIC SYSTEM</t>
    </r>
  </si>
  <si>
    <t>SWIMMING POOL (Pool Filter)</t>
  </si>
  <si>
    <t>Council Principal Certifying Authority (PCA)</t>
  </si>
  <si>
    <t>Combined DA/CC Application</t>
  </si>
  <si>
    <t>Occupation Certificates - Residential</t>
  </si>
  <si>
    <t>Variables!B140</t>
  </si>
  <si>
    <t>Variables!B141</t>
  </si>
  <si>
    <t>Occupation Certificates -Commercial</t>
  </si>
  <si>
    <t>InsResBase</t>
  </si>
  <si>
    <t>Building Inspections Class 1 &amp;10 Base Fee</t>
  </si>
  <si>
    <t>InsResAdd</t>
  </si>
  <si>
    <t>Building Inspections Class 1 &amp;10 Additional</t>
  </si>
  <si>
    <t>InsComBase</t>
  </si>
  <si>
    <t>Building Inspections Class 2-9 Base Fee</t>
  </si>
  <si>
    <t>InsComAdd</t>
  </si>
  <si>
    <t>Building Inspections Class 2-9 Additional</t>
  </si>
  <si>
    <t>Variables!Q4</t>
  </si>
  <si>
    <t>Variables!Q5</t>
  </si>
  <si>
    <t>Variables!Q6</t>
  </si>
  <si>
    <t>Variables!Q7</t>
  </si>
  <si>
    <t>Variables!Q8</t>
  </si>
  <si>
    <t>Variables!Q9</t>
  </si>
  <si>
    <t>Variables!Q10</t>
  </si>
  <si>
    <t>Variables!Q11</t>
  </si>
  <si>
    <t>Variables!Q12</t>
  </si>
  <si>
    <t>Variables!Q13</t>
  </si>
  <si>
    <t>Variables!Q14</t>
  </si>
  <si>
    <t>Variables!Q15</t>
  </si>
  <si>
    <t>Variables!Q16</t>
  </si>
  <si>
    <t>Variables!Q17</t>
  </si>
  <si>
    <t>Variables!Q18</t>
  </si>
  <si>
    <t>Section 68 Inspection fees only</t>
  </si>
  <si>
    <t>Variables!Q19</t>
  </si>
  <si>
    <t>CC- This is based on Fees and Charges Table</t>
  </si>
  <si>
    <t xml:space="preserve">CC- This is based on Fees and Charges Table </t>
  </si>
  <si>
    <t>CONSTRUCTION CERTIFICATE CALCULATIONS</t>
  </si>
  <si>
    <t>Construction Certificates (2017-2018)</t>
  </si>
  <si>
    <t>&lt;=20000</t>
  </si>
  <si>
    <t>&gt;20000&lt;=50000</t>
  </si>
  <si>
    <t>&gt;50000&lt;=100000</t>
  </si>
  <si>
    <t>&gt;100000&lt;=250000</t>
  </si>
  <si>
    <t>&gt;250000&lt;=400000</t>
  </si>
  <si>
    <t>&gt;400000&lt;=500000</t>
  </si>
  <si>
    <t>&gt;500000</t>
  </si>
  <si>
    <t>(see table)</t>
  </si>
  <si>
    <t>Variables!B145</t>
  </si>
  <si>
    <t>Variables!B146</t>
  </si>
  <si>
    <t>Variables!B147</t>
  </si>
  <si>
    <t>Variables!B148</t>
  </si>
  <si>
    <t>Variables!B149</t>
  </si>
  <si>
    <t>Variables!B150</t>
  </si>
  <si>
    <t>&lt;=100000</t>
  </si>
  <si>
    <t>&gt;250000</t>
  </si>
  <si>
    <t>Variables!B153</t>
  </si>
  <si>
    <t>Variables!B154</t>
  </si>
  <si>
    <t>DA Fees (2017-2018)</t>
  </si>
  <si>
    <t>CDC- This is based on Fees and Charges Table</t>
  </si>
  <si>
    <t>Application Fee - CDC</t>
  </si>
  <si>
    <t>CDC Calculations</t>
  </si>
  <si>
    <t>DA Calculations</t>
  </si>
  <si>
    <t>CDC Fees (2017-2018)</t>
  </si>
  <si>
    <t>&lt;=5000</t>
  </si>
  <si>
    <t>&gt;5000&lt;=20000</t>
  </si>
  <si>
    <t>&gt;250000&lt;=500000</t>
  </si>
  <si>
    <t>Variables!B162</t>
  </si>
  <si>
    <t>Variables!B163</t>
  </si>
  <si>
    <t>Variables!B164</t>
  </si>
  <si>
    <t>Variables!B165</t>
  </si>
  <si>
    <t>Variables!B166</t>
  </si>
  <si>
    <t>Variables!B167</t>
  </si>
  <si>
    <t>Variables!B168</t>
  </si>
  <si>
    <t>Variables!B170</t>
  </si>
  <si>
    <t>Variables!B171</t>
  </si>
  <si>
    <t>&gt;$250,000&lt;$500,000 Base</t>
  </si>
  <si>
    <t>&gt;$500,000&lt;$1000000 Base</t>
  </si>
  <si>
    <t>&gt;$1000000 Base</t>
  </si>
  <si>
    <t>Variables!B172</t>
  </si>
  <si>
    <t>Variables!B173</t>
  </si>
  <si>
    <t>Variables!B174</t>
  </si>
  <si>
    <t>Per $1000 additional</t>
  </si>
  <si>
    <t>Variables!B175</t>
  </si>
  <si>
    <t>Section 68 Calculations</t>
  </si>
  <si>
    <t>Development Applications (see cells P36:Y54 for calculations)</t>
  </si>
  <si>
    <t>Subdivision Fee Calculation</t>
  </si>
  <si>
    <t>Construction Certificate Calculation</t>
  </si>
  <si>
    <t>Swimming Pool</t>
  </si>
  <si>
    <t>Wet Area</t>
  </si>
  <si>
    <t>Externals</t>
  </si>
  <si>
    <t>Base Fee Applies (allows up to 2 inspections) - any additional critical stage inspections @$92 per inspection applies</t>
  </si>
  <si>
    <t>Base Fee Applies (allows up to 3 inspections) - any additional critical stage inspections @$92 per inspection applies</t>
  </si>
  <si>
    <t>Base Fee Applies (allows up to 4 inspections) - any additional critical stage inspections @$92 per inspection applies</t>
  </si>
  <si>
    <t>Base Fee Applies (allows up to 5 inspections) - any additional critical stage inspections @$92 per inspection applies</t>
  </si>
  <si>
    <t xml:space="preserve">Base Fee Applies (allows up to 2 inspections) - any additional critical stage inspections @$92 per inspection applies 
</t>
  </si>
  <si>
    <t>Base Fee Applies (allows up to 2 inspections) - any additional critical stage inspections @$92 per inspection applies
Section 68 inspection fees included</t>
  </si>
  <si>
    <t>Base Fee Applies (allows up to 3 inspections) - any additional critical stage inspections @$92 per inspection applies
Section 68 inspection fees included</t>
  </si>
  <si>
    <t>Base Fee Applies (allows up to 4 inspections) - any additional critical stage inspections @$92 per inspection applies
Section 68 inspection fees included</t>
  </si>
  <si>
    <t>Base Fee Applies (allows up to 5 inspections) - any additional critical stage inspections @$92 per inspection applies
Section 68 inspection fees included</t>
  </si>
  <si>
    <t>Base Fee Applies (allows up to 2 inspections) - any additional critical stage inspections @$133 per inspection applies</t>
  </si>
  <si>
    <t>Base Fee Applies (allows up to 7 inspections) - any additional critical stage inspections @$133 per inspection applies</t>
  </si>
  <si>
    <t>Base Fee Applies (allows up to 2 inspections) - any additional critical stage inspections @$133 per inspection applies
Section 68 inspection fees included</t>
  </si>
  <si>
    <t>Base Fee Applies (allows up to 7 inspections) - any additional critical stage inspections @$133 per inspection applies
Section 68 inspection fees included</t>
  </si>
  <si>
    <t>Development Contributions Calculator 2018-2019</t>
  </si>
  <si>
    <t>Fee Estimator</t>
  </si>
  <si>
    <t>Advertising/Notification Guidelines</t>
  </si>
  <si>
    <r>
      <t xml:space="preserve">Note: This estimation is made based on information supplied and may vary after closer assessment of plans and/or a site inspection.  Any contributions applicable to the development are not included in this estimate. 
</t>
    </r>
    <r>
      <rPr>
        <b/>
        <sz val="10"/>
        <rFont val="Arial"/>
        <family val="2"/>
      </rPr>
      <t>Please confirm estimate with Council before arranging payment</t>
    </r>
  </si>
  <si>
    <t>Please confirm estimate with Council before arranging payment</t>
  </si>
  <si>
    <t>Prashanth Van Houten</t>
  </si>
  <si>
    <t>Anna La</t>
  </si>
  <si>
    <t>Jenny Chmieluk</t>
  </si>
  <si>
    <t>Upon lodgement of a Development Application:
a) Complete Self Assessment (http://www.rfs.nsw.gov.au/__data/assets/pdf_file/0017/4355/Guidelines-for-Single-Dwelling-Development-Applications.pdf)
b) Return to Council with a Completed Self Assessment, payment of $321.00 and a copy of proposed plans</t>
  </si>
  <si>
    <t>Compliance Levy</t>
  </si>
  <si>
    <t>Variables!B177</t>
  </si>
  <si>
    <t>Minimum Levy</t>
  </si>
  <si>
    <t>Variables!B178</t>
  </si>
  <si>
    <r>
      <t>Administration Fee</t>
    </r>
    <r>
      <rPr>
        <sz val="10"/>
        <color rgb="FF00B0F0"/>
        <rFont val="Calibri"/>
        <family val="2"/>
        <scheme val="minor"/>
      </rPr>
      <t>*</t>
    </r>
  </si>
  <si>
    <r>
      <t>Rural Addressing Fee</t>
    </r>
    <r>
      <rPr>
        <sz val="10"/>
        <color rgb="FF00B0F0"/>
        <rFont val="Calibri"/>
        <family val="2"/>
        <scheme val="minor"/>
      </rPr>
      <t>*</t>
    </r>
  </si>
  <si>
    <r>
      <t>Construction Certificate:</t>
    </r>
    <r>
      <rPr>
        <sz val="10"/>
        <color rgb="FF00B0F0"/>
        <rFont val="Calibri"/>
        <family val="2"/>
        <scheme val="minor"/>
      </rPr>
      <t>*</t>
    </r>
  </si>
  <si>
    <r>
      <t>Complying Development Certificate</t>
    </r>
    <r>
      <rPr>
        <sz val="10"/>
        <color rgb="FF00B0F0"/>
        <rFont val="Calibri"/>
        <family val="2"/>
        <scheme val="minor"/>
      </rPr>
      <t>*</t>
    </r>
  </si>
  <si>
    <r>
      <t>Strata Inspection Fee</t>
    </r>
    <r>
      <rPr>
        <sz val="10"/>
        <color rgb="FF00B0F0"/>
        <rFont val="Calibri"/>
        <family val="2"/>
        <scheme val="minor"/>
      </rPr>
      <t>*</t>
    </r>
  </si>
  <si>
    <t>Development Compliance Levy</t>
  </si>
  <si>
    <t>GST Amount</t>
  </si>
  <si>
    <t>GST Calculator - Enter Value Here</t>
  </si>
  <si>
    <t>2019/2020 Fee Estimate - D&amp;A Applications - Valid until 30 June 2020</t>
  </si>
  <si>
    <t xml:space="preserve">2019/2020 Fee Estimator  </t>
  </si>
  <si>
    <t>Add GST (Exclusive)</t>
  </si>
  <si>
    <t>Subtract GST (Inclusive)</t>
  </si>
  <si>
    <t>Update 27/06/2019</t>
  </si>
  <si>
    <r>
      <rPr>
        <b/>
        <sz val="11"/>
        <color rgb="FFFFFF00"/>
        <rFont val="Arial"/>
        <family val="2"/>
      </rPr>
      <t xml:space="preserve">SUMMARY OF FEES </t>
    </r>
    <r>
      <rPr>
        <b/>
        <sz val="9"/>
        <color rgb="FFFFFF00"/>
        <rFont val="Arial"/>
        <family val="2"/>
      </rPr>
      <t xml:space="preserve"> </t>
    </r>
    <r>
      <rPr>
        <b/>
        <sz val="14"/>
        <color rgb="FFFFFF00"/>
        <rFont val="Arial"/>
        <family val="2"/>
      </rPr>
      <t xml:space="preserve">- </t>
    </r>
    <r>
      <rPr>
        <b/>
        <sz val="8"/>
        <color rgb="FFFFFF00"/>
        <rFont val="Arial"/>
        <family val="2"/>
      </rPr>
      <t xml:space="preserve"> </t>
    </r>
    <r>
      <rPr>
        <b/>
        <sz val="8"/>
        <color theme="0"/>
        <rFont val="Arial"/>
        <family val="2"/>
      </rPr>
      <t xml:space="preserve">Please note: This estimation is made based on information supplied and may vary after closer assessment of plans and/or a site inspection.  Any contributions applicable to the development are not included in this estimate.
</t>
    </r>
    <r>
      <rPr>
        <sz val="10"/>
        <color rgb="FF00B0F0"/>
        <rFont val="Arial"/>
        <family val="2"/>
      </rPr>
      <t xml:space="preserve">*GST Included </t>
    </r>
  </si>
  <si>
    <t>GST Checker - Enter Value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</si>
</sst>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quot;$&quot;#,##0.00"/>
    <numFmt numFmtId="44" formatCode="_-&quot;$&quot;* #,##0.00_-;\-&quot;$&quot;* #,##0.00_-;_-&quot;$&quot;* &quot;-&quot;??_-;_-@_-"/>
    <numFmt numFmtId="43" formatCode="_-* #,##0.00_-;\-* #,##0.00_-;_-* &quot;-&quot;??_-;_-@_-"/>
    <numFmt numFmtId="164" formatCode="&quot;$&quot;#,##0"/>
    <numFmt numFmtId="165" formatCode="#,##0.0"/>
    <numFmt numFmtId="166" formatCode="&quot;$&quot;#,##0.00"/>
    <numFmt numFmtId="167" formatCode="0.000%"/>
    <numFmt numFmtId="168" formatCode="d/mm/yyyy;@"/>
    <numFmt numFmtId="169" formatCode="&quot;$&quot;#,##0.00;[Red]&quot;$&quot;#,##0.00"/>
  </numFmts>
  <fonts count="1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sz val="10"/>
      <name val="Arial Narrow"/>
      <family val="2"/>
    </font>
    <font>
      <b/>
      <sz val="10"/>
      <name val="Arial Narrow"/>
      <family val="2"/>
    </font>
    <font>
      <b/>
      <sz val="10"/>
      <color rgb="FFFF0000"/>
      <name val="Arial Narrow"/>
      <family val="2"/>
    </font>
    <font>
      <sz val="10"/>
      <color theme="0"/>
      <name val="Arial"/>
      <family val="2"/>
    </font>
    <font>
      <sz val="8"/>
      <color theme="0"/>
      <name val="Arial"/>
      <family val="2"/>
    </font>
    <font>
      <sz val="10"/>
      <name val="Calibri"/>
      <family val="2"/>
      <scheme val="minor"/>
    </font>
    <font>
      <sz val="8"/>
      <name val="Calibri"/>
      <family val="2"/>
      <scheme val="minor"/>
    </font>
    <font>
      <sz val="9"/>
      <name val="Calibri"/>
      <family val="2"/>
      <scheme val="minor"/>
    </font>
    <font>
      <sz val="9"/>
      <name val="Arial"/>
      <family val="2"/>
    </font>
    <font>
      <sz val="9"/>
      <name val="Arial Narrow"/>
      <family val="2"/>
    </font>
    <font>
      <sz val="9"/>
      <color theme="1"/>
      <name val="Calibri"/>
      <family val="2"/>
      <scheme val="minor"/>
    </font>
    <font>
      <sz val="10"/>
      <color theme="1"/>
      <name val="Arial"/>
      <family val="2"/>
    </font>
    <font>
      <sz val="10"/>
      <color rgb="FFFF0000"/>
      <name val="Arial Narrow"/>
      <family val="2"/>
    </font>
    <font>
      <b/>
      <sz val="9"/>
      <color rgb="FFFF0000"/>
      <name val="Calibri"/>
      <family val="2"/>
      <scheme val="minor"/>
    </font>
    <font>
      <b/>
      <sz val="12"/>
      <name val="Calibri"/>
      <family val="2"/>
      <scheme val="minor"/>
    </font>
    <font>
      <u/>
      <sz val="10"/>
      <color theme="10"/>
      <name val="Arial"/>
      <family val="2"/>
    </font>
    <font>
      <sz val="10"/>
      <color theme="1"/>
      <name val="Calibri"/>
      <family val="2"/>
      <scheme val="minor"/>
    </font>
    <font>
      <sz val="8"/>
      <color rgb="FFFF0000"/>
      <name val="Calibri"/>
      <family val="2"/>
      <scheme val="minor"/>
    </font>
    <font>
      <sz val="10"/>
      <color rgb="FFFF0000"/>
      <name val="Calibri"/>
      <family val="2"/>
      <scheme val="minor"/>
    </font>
    <font>
      <b/>
      <sz val="12"/>
      <color theme="0"/>
      <name val="Calibri"/>
      <family val="2"/>
      <scheme val="minor"/>
    </font>
    <font>
      <sz val="9"/>
      <color rgb="FFFF0000"/>
      <name val="Calibri"/>
      <family val="2"/>
      <scheme val="minor"/>
    </font>
    <font>
      <b/>
      <sz val="11"/>
      <color theme="0"/>
      <name val="Calibri"/>
      <family val="2"/>
      <scheme val="minor"/>
    </font>
    <font>
      <b/>
      <sz val="10"/>
      <name val="Calibri"/>
      <family val="2"/>
      <scheme val="minor"/>
    </font>
    <font>
      <sz val="10"/>
      <color theme="4" tint="0.79998168889431442"/>
      <name val="Calibri"/>
      <family val="2"/>
      <scheme val="minor"/>
    </font>
    <font>
      <b/>
      <sz val="12"/>
      <color theme="0"/>
      <name val="Arial"/>
      <family val="2"/>
    </font>
    <font>
      <b/>
      <sz val="8"/>
      <color theme="0"/>
      <name val="Arial"/>
      <family val="2"/>
    </font>
    <font>
      <b/>
      <sz val="11"/>
      <color theme="0"/>
      <name val="Arial"/>
      <family val="2"/>
    </font>
    <font>
      <sz val="8"/>
      <color theme="1"/>
      <name val="Calibri"/>
      <family val="2"/>
      <scheme val="minor"/>
    </font>
    <font>
      <sz val="8"/>
      <color theme="1"/>
      <name val="Arial"/>
      <family val="2"/>
    </font>
    <font>
      <b/>
      <sz val="10"/>
      <color theme="0"/>
      <name val="Calibri"/>
      <family val="2"/>
      <scheme val="minor"/>
    </font>
    <font>
      <sz val="8.5"/>
      <name val="Calibri"/>
      <family val="2"/>
      <scheme val="minor"/>
    </font>
    <font>
      <b/>
      <sz val="18"/>
      <color theme="0"/>
      <name val="Calibri"/>
      <family val="2"/>
      <scheme val="minor"/>
    </font>
    <font>
      <sz val="10.5"/>
      <name val="Arial"/>
      <family val="2"/>
    </font>
    <font>
      <b/>
      <sz val="10.5"/>
      <color theme="0"/>
      <name val="Arial"/>
      <family val="2"/>
    </font>
    <font>
      <sz val="10.5"/>
      <name val="Arial Narrow"/>
      <family val="2"/>
    </font>
    <font>
      <b/>
      <sz val="11"/>
      <color theme="0"/>
      <name val="Arial Narrow"/>
      <family val="2"/>
    </font>
    <font>
      <sz val="11"/>
      <name val="Arial Narrow"/>
      <family val="2"/>
    </font>
    <font>
      <sz val="9"/>
      <color rgb="FFFF0000"/>
      <name val="Arial Narrow"/>
      <family val="2"/>
    </font>
    <font>
      <sz val="10"/>
      <color indexed="81"/>
      <name val="Arial Narrow"/>
      <family val="2"/>
    </font>
    <font>
      <sz val="10"/>
      <color indexed="8"/>
      <name val="Arial Narrow"/>
      <family val="2"/>
    </font>
    <font>
      <sz val="9"/>
      <color theme="4" tint="-0.499984740745262"/>
      <name val="Calibri"/>
      <family val="2"/>
      <scheme val="minor"/>
    </font>
    <font>
      <sz val="10"/>
      <color theme="4" tint="-0.499984740745262"/>
      <name val="Calibri"/>
      <family val="2"/>
      <scheme val="minor"/>
    </font>
    <font>
      <sz val="8"/>
      <color theme="4" tint="-0.499984740745262"/>
      <name val="Calibri"/>
      <family val="2"/>
      <scheme val="minor"/>
    </font>
    <font>
      <b/>
      <sz val="9"/>
      <color theme="0"/>
      <name val="Calibri"/>
      <family val="2"/>
      <scheme val="minor"/>
    </font>
    <font>
      <sz val="10"/>
      <color theme="4" tint="-0.249977111117893"/>
      <name val="Arial"/>
      <family val="2"/>
    </font>
    <font>
      <u/>
      <sz val="10"/>
      <color theme="0"/>
      <name val="Arial"/>
      <family val="2"/>
    </font>
    <font>
      <b/>
      <sz val="9"/>
      <color rgb="FFFF0000"/>
      <name val="Arial"/>
      <family val="2"/>
    </font>
    <font>
      <sz val="9"/>
      <color theme="0"/>
      <name val="Arial Narrow"/>
      <family val="2"/>
    </font>
    <font>
      <sz val="8"/>
      <color theme="0"/>
      <name val="Arial Narrow"/>
      <family val="2"/>
    </font>
    <font>
      <sz val="9"/>
      <color theme="0"/>
      <name val="Arial"/>
      <family val="2"/>
    </font>
    <font>
      <b/>
      <sz val="14"/>
      <color rgb="FFFFFF00"/>
      <name val="Arial"/>
      <family val="2"/>
    </font>
    <font>
      <b/>
      <sz val="11"/>
      <color rgb="FFFFFF00"/>
      <name val="Arial"/>
      <family val="2"/>
    </font>
    <font>
      <b/>
      <sz val="9"/>
      <color rgb="FFFFFF00"/>
      <name val="Arial"/>
      <family val="2"/>
    </font>
    <font>
      <b/>
      <sz val="8"/>
      <color rgb="FFFFFF00"/>
      <name val="Arial"/>
      <family val="2"/>
    </font>
    <font>
      <u/>
      <sz val="10"/>
      <color theme="4" tint="0.79998168889431442"/>
      <name val="Arial"/>
      <family val="2"/>
    </font>
    <font>
      <sz val="5"/>
      <name val="Arial"/>
      <family val="2"/>
    </font>
    <font>
      <b/>
      <sz val="11"/>
      <color theme="4" tint="-0.499984740745262"/>
      <name val="Calibri"/>
      <family val="2"/>
      <scheme val="minor"/>
    </font>
    <font>
      <sz val="9"/>
      <color theme="1" tint="4.9989318521683403E-2"/>
      <name val="Calibri"/>
      <family val="2"/>
      <scheme val="minor"/>
    </font>
    <font>
      <u/>
      <sz val="9"/>
      <color theme="1" tint="4.9989318521683403E-2"/>
      <name val="Calibri"/>
      <family val="2"/>
      <scheme val="minor"/>
    </font>
    <font>
      <b/>
      <sz val="9.5"/>
      <color rgb="FFFF0000"/>
      <name val="Arial"/>
      <family val="2"/>
    </font>
    <font>
      <sz val="10"/>
      <color theme="1" tint="4.9989318521683403E-2"/>
      <name val="Arial Narrow"/>
      <family val="2"/>
    </font>
    <font>
      <sz val="11"/>
      <color rgb="FFFF0000"/>
      <name val="Calibri"/>
      <family val="2"/>
      <scheme val="minor"/>
    </font>
    <font>
      <sz val="11"/>
      <color theme="0"/>
      <name val="Calibri"/>
      <family val="2"/>
      <scheme val="minor"/>
    </font>
    <font>
      <sz val="9"/>
      <color theme="1"/>
      <name val="Arial"/>
      <family val="2"/>
    </font>
    <font>
      <b/>
      <i/>
      <sz val="10"/>
      <color theme="4" tint="-0.499984740745262"/>
      <name val="Calibri"/>
      <family val="2"/>
      <scheme val="minor"/>
    </font>
    <font>
      <b/>
      <i/>
      <sz val="8"/>
      <color theme="1"/>
      <name val="Arial"/>
      <family val="2"/>
    </font>
    <font>
      <b/>
      <sz val="10"/>
      <color theme="4" tint="-0.499984740745262"/>
      <name val="Calibri"/>
      <family val="2"/>
      <scheme val="minor"/>
    </font>
    <font>
      <sz val="12"/>
      <color theme="0"/>
      <name val="Arial"/>
      <family val="2"/>
    </font>
    <font>
      <sz val="8"/>
      <color rgb="FF000000"/>
      <name val="Tahoma"/>
      <family val="2"/>
    </font>
    <font>
      <sz val="10"/>
      <color theme="0"/>
      <name val="Calibri"/>
      <family val="2"/>
      <scheme val="minor"/>
    </font>
    <font>
      <b/>
      <sz val="12"/>
      <color theme="1"/>
      <name val="Arial"/>
      <family val="2"/>
    </font>
    <font>
      <i/>
      <sz val="11"/>
      <color theme="0"/>
      <name val="Calibri"/>
      <family val="2"/>
      <scheme val="minor"/>
    </font>
    <font>
      <b/>
      <sz val="14"/>
      <color theme="0"/>
      <name val="Calibri"/>
      <family val="2"/>
      <scheme val="minor"/>
    </font>
    <font>
      <vertAlign val="superscript"/>
      <sz val="11"/>
      <color theme="1"/>
      <name val="Calibri"/>
      <family val="2"/>
      <scheme val="minor"/>
    </font>
    <font>
      <sz val="9"/>
      <color theme="0"/>
      <name val="Calibri"/>
      <family val="2"/>
      <scheme val="minor"/>
    </font>
    <font>
      <sz val="14"/>
      <color theme="0"/>
      <name val="Calibri"/>
      <family val="2"/>
      <scheme val="minor"/>
    </font>
    <font>
      <vertAlign val="superscript"/>
      <sz val="8"/>
      <color theme="1"/>
      <name val="Calibri"/>
      <family val="2"/>
      <scheme val="minor"/>
    </font>
    <font>
      <sz val="14"/>
      <color theme="1"/>
      <name val="Calibri"/>
      <family val="2"/>
      <scheme val="minor"/>
    </font>
    <font>
      <sz val="14"/>
      <name val="Calibri"/>
      <family val="2"/>
      <scheme val="minor"/>
    </font>
    <font>
      <sz val="14"/>
      <color rgb="FFFF0000"/>
      <name val="Arial"/>
      <family val="2"/>
    </font>
    <font>
      <sz val="14"/>
      <color rgb="FFFF0000"/>
      <name val="Calibri"/>
      <family val="2"/>
      <scheme val="minor"/>
    </font>
    <font>
      <sz val="12"/>
      <color theme="1"/>
      <name val="Calibri"/>
      <family val="2"/>
      <scheme val="minor"/>
    </font>
    <font>
      <sz val="16"/>
      <color theme="0"/>
      <name val="Calibri"/>
      <family val="2"/>
      <scheme val="minor"/>
    </font>
    <font>
      <u/>
      <sz val="11"/>
      <color indexed="12"/>
      <name val="Calibri"/>
      <family val="2"/>
    </font>
    <font>
      <sz val="11"/>
      <color indexed="8"/>
      <name val="Calibri"/>
      <family val="2"/>
    </font>
    <font>
      <b/>
      <sz val="11"/>
      <color theme="1"/>
      <name val="Calibri"/>
      <family val="2"/>
      <scheme val="minor"/>
    </font>
    <font>
      <sz val="12"/>
      <color theme="4" tint="-0.499984740745262"/>
      <name val="Calibri"/>
      <family val="2"/>
      <scheme val="minor"/>
    </font>
    <font>
      <sz val="12"/>
      <color theme="4" tint="-0.499984740745262"/>
      <name val="Wingdings"/>
      <charset val="2"/>
    </font>
    <font>
      <sz val="10"/>
      <color theme="4" tint="-0.499984740745262"/>
      <name val="Wingdings"/>
      <charset val="2"/>
    </font>
    <font>
      <vertAlign val="superscript"/>
      <sz val="10"/>
      <color theme="4" tint="-0.499984740745262"/>
      <name val="Calibri"/>
      <family val="2"/>
      <scheme val="minor"/>
    </font>
    <font>
      <vertAlign val="superscript"/>
      <sz val="10"/>
      <color theme="4" tint="-0.499984740745262"/>
      <name val="Wingdings"/>
      <charset val="2"/>
    </font>
    <font>
      <sz val="11"/>
      <color theme="4" tint="-0.249977111117893"/>
      <name val="Calibri"/>
      <family val="2"/>
      <scheme val="minor"/>
    </font>
    <font>
      <b/>
      <sz val="16"/>
      <color theme="0"/>
      <name val="Calibri"/>
      <family val="2"/>
      <scheme val="minor"/>
    </font>
    <font>
      <sz val="11"/>
      <name val="Calibri"/>
      <family val="2"/>
      <scheme val="minor"/>
    </font>
    <font>
      <sz val="10"/>
      <color rgb="FFF8B54A"/>
      <name val="Arial"/>
      <family val="2"/>
    </font>
    <font>
      <sz val="26"/>
      <color rgb="FFF8B54A"/>
      <name val="Arial"/>
      <family val="2"/>
    </font>
    <font>
      <sz val="10"/>
      <color rgb="FFBACFE4"/>
      <name val="Arial"/>
      <family val="2"/>
    </font>
    <font>
      <sz val="1"/>
      <color theme="6" tint="0.59999389629810485"/>
      <name val="Calibri"/>
      <family val="2"/>
      <scheme val="minor"/>
    </font>
    <font>
      <sz val="1"/>
      <color theme="0"/>
      <name val="Calibri"/>
      <family val="2"/>
      <scheme val="minor"/>
    </font>
    <font>
      <sz val="1"/>
      <color theme="1"/>
      <name val="Calibri"/>
      <family val="2"/>
      <scheme val="minor"/>
    </font>
    <font>
      <b/>
      <i/>
      <sz val="22"/>
      <name val="Calibri"/>
      <family val="2"/>
      <scheme val="minor"/>
    </font>
    <font>
      <sz val="16"/>
      <name val="Calibri"/>
      <family val="2"/>
      <scheme val="minor"/>
    </font>
    <font>
      <sz val="11"/>
      <color theme="6" tint="-0.499984740745262"/>
      <name val="Calibri"/>
      <family val="2"/>
      <scheme val="minor"/>
    </font>
    <font>
      <sz val="12"/>
      <name val="Calibri"/>
      <family val="2"/>
      <scheme val="minor"/>
    </font>
    <font>
      <sz val="11"/>
      <color theme="1"/>
      <name val="Symbol"/>
      <family val="1"/>
      <charset val="2"/>
    </font>
    <font>
      <sz val="13"/>
      <name val="Calibri"/>
      <family val="2"/>
      <scheme val="minor"/>
    </font>
    <font>
      <sz val="1"/>
      <color theme="4" tint="0.79998168889431442"/>
      <name val="Calibri"/>
      <family val="2"/>
      <scheme val="minor"/>
    </font>
    <font>
      <sz val="1"/>
      <name val="Calibri"/>
      <family val="2"/>
      <scheme val="minor"/>
    </font>
    <font>
      <sz val="11"/>
      <color theme="6" tint="0.59996337778862885"/>
      <name val="Calibri"/>
      <family val="2"/>
      <scheme val="minor"/>
    </font>
    <font>
      <b/>
      <sz val="14"/>
      <color theme="1"/>
      <name val="Calibri"/>
      <family val="2"/>
      <scheme val="minor"/>
    </font>
    <font>
      <b/>
      <sz val="10"/>
      <color theme="1"/>
      <name val="Calibri"/>
      <family val="2"/>
      <scheme val="minor"/>
    </font>
    <font>
      <sz val="10"/>
      <color theme="1"/>
      <name val="Symbol"/>
      <family val="1"/>
      <charset val="2"/>
    </font>
    <font>
      <i/>
      <sz val="11"/>
      <color theme="1"/>
      <name val="Calibri"/>
      <family val="2"/>
      <scheme val="minor"/>
    </font>
    <font>
      <sz val="10"/>
      <color theme="6" tint="0.59999389629810485"/>
      <name val="Calibri"/>
      <family val="2"/>
      <scheme val="minor"/>
    </font>
    <font>
      <sz val="8"/>
      <color theme="4" tint="-0.24994659260841701"/>
      <name val="Calibri"/>
      <family val="2"/>
      <scheme val="minor"/>
    </font>
    <font>
      <sz val="8"/>
      <color theme="9" tint="-0.24994659260841701"/>
      <name val="Calibri"/>
      <family val="2"/>
      <scheme val="minor"/>
    </font>
    <font>
      <sz val="8"/>
      <color theme="7" tint="-0.24994659260841701"/>
      <name val="Calibri"/>
      <family val="2"/>
      <scheme val="minor"/>
    </font>
    <font>
      <sz val="8"/>
      <color theme="6" tint="-0.499984740745262"/>
      <name val="Calibri"/>
      <family val="2"/>
      <scheme val="minor"/>
    </font>
    <font>
      <sz val="11"/>
      <color theme="9" tint="-0.24994659260841701"/>
      <name val="Calibri"/>
      <family val="2"/>
      <scheme val="minor"/>
    </font>
    <font>
      <sz val="11"/>
      <color theme="7" tint="-0.24994659260841701"/>
      <name val="Calibri"/>
      <family val="2"/>
      <scheme val="minor"/>
    </font>
    <font>
      <sz val="11"/>
      <color theme="4" tint="-0.24994659260841701"/>
      <name val="Calibri"/>
      <family val="2"/>
      <scheme val="minor"/>
    </font>
    <font>
      <sz val="1"/>
      <color theme="0"/>
      <name val="Arial"/>
      <family val="2"/>
    </font>
    <font>
      <sz val="1"/>
      <color theme="4" tint="-0.24994659260841701"/>
      <name val="Arial"/>
      <family val="2"/>
    </font>
    <font>
      <sz val="1"/>
      <color theme="0"/>
      <name val="Calibri"/>
      <family val="2"/>
    </font>
    <font>
      <sz val="1"/>
      <color theme="4" tint="-0.24994659260841701"/>
      <name val="Calibri"/>
      <family val="2"/>
      <scheme val="minor"/>
    </font>
    <font>
      <sz val="8.5"/>
      <name val="Arial"/>
      <family val="2"/>
    </font>
    <font>
      <sz val="8.5"/>
      <color rgb="FFFF0000"/>
      <name val="Calibri"/>
      <family val="2"/>
      <scheme val="minor"/>
    </font>
    <font>
      <b/>
      <i/>
      <sz val="9"/>
      <color theme="0"/>
      <name val="Calibri"/>
      <family val="2"/>
      <scheme val="minor"/>
    </font>
    <font>
      <sz val="8"/>
      <color theme="0"/>
      <name val="Calibri"/>
      <family val="2"/>
      <scheme val="minor"/>
    </font>
    <font>
      <sz val="6"/>
      <color theme="0"/>
      <name val="Calibri"/>
      <family val="2"/>
      <scheme val="minor"/>
    </font>
    <font>
      <b/>
      <sz val="10"/>
      <color rgb="FFFF0000"/>
      <name val="Calibri"/>
      <family val="2"/>
    </font>
    <font>
      <b/>
      <sz val="9"/>
      <color theme="0"/>
      <name val="Arial Narrow"/>
      <family val="2"/>
    </font>
    <font>
      <i/>
      <sz val="10"/>
      <color theme="4" tint="-0.499984740745262"/>
      <name val="Calibri"/>
      <family val="2"/>
      <scheme val="minor"/>
    </font>
    <font>
      <i/>
      <sz val="10"/>
      <color rgb="FFFF0000"/>
      <name val="Calibri"/>
      <family val="2"/>
      <scheme val="minor"/>
    </font>
    <font>
      <b/>
      <sz val="11"/>
      <color rgb="FFFF0000"/>
      <name val="Calibri"/>
      <family val="2"/>
      <scheme val="minor"/>
    </font>
    <font>
      <sz val="11"/>
      <name val="Arial"/>
      <family val="2"/>
    </font>
    <font>
      <sz val="7"/>
      <color rgb="FFFF0000"/>
      <name val="Calibri"/>
      <family val="2"/>
      <scheme val="minor"/>
    </font>
    <font>
      <sz val="10"/>
      <color theme="4" tint="0.79998168889431442"/>
      <name val="Arial Narrow"/>
      <family val="2"/>
    </font>
    <font>
      <b/>
      <sz val="10"/>
      <color theme="4" tint="0.79998168889431442"/>
      <name val="Arial Narrow"/>
      <family val="2"/>
    </font>
    <font>
      <sz val="10"/>
      <color theme="4" tint="0.79998168889431442"/>
      <name val="Arial"/>
      <family val="2"/>
    </font>
    <font>
      <sz val="10"/>
      <color theme="4" tint="0.59999389629810485"/>
      <name val="Arial Narrow"/>
      <family val="2"/>
    </font>
    <font>
      <b/>
      <sz val="10"/>
      <color theme="4" tint="0.59999389629810485"/>
      <name val="Arial Narrow"/>
      <family val="2"/>
    </font>
    <font>
      <u/>
      <sz val="9"/>
      <color theme="10"/>
      <name val="Calibri"/>
      <family val="2"/>
      <scheme val="minor"/>
    </font>
    <font>
      <u/>
      <sz val="10"/>
      <color theme="0" tint="-4.9989318521683403E-2"/>
      <name val="Arial"/>
      <family val="2"/>
    </font>
    <font>
      <sz val="10"/>
      <color rgb="FF00B0F0"/>
      <name val="Calibri"/>
      <family val="2"/>
      <scheme val="minor"/>
    </font>
    <font>
      <sz val="10"/>
      <color rgb="FF1F497D"/>
      <name val="Arial"/>
      <family val="2"/>
    </font>
    <font>
      <b/>
      <sz val="12"/>
      <color rgb="FF1F497D"/>
      <name val="Arial"/>
      <family val="2"/>
    </font>
    <font>
      <sz val="8"/>
      <color rgb="FF1F497D"/>
      <name val="Arial"/>
      <family val="2"/>
    </font>
    <font>
      <i/>
      <sz val="9"/>
      <color rgb="FF1F497D"/>
      <name val="Arial"/>
      <family val="2"/>
    </font>
    <font>
      <sz val="10"/>
      <color rgb="FF1F497D"/>
      <name val="Calibri"/>
      <family val="2"/>
      <scheme val="minor"/>
    </font>
    <font>
      <sz val="9"/>
      <color rgb="FF1F497D"/>
      <name val="Calibri"/>
      <family val="2"/>
      <scheme val="minor"/>
    </font>
    <font>
      <b/>
      <sz val="12"/>
      <color rgb="FF1F497D"/>
      <name val="Calibri"/>
      <family val="2"/>
      <scheme val="minor"/>
    </font>
    <font>
      <sz val="10"/>
      <color rgb="FF00B0F0"/>
      <name val="Arial"/>
      <family val="2"/>
    </font>
  </fonts>
  <fills count="45">
    <fill>
      <patternFill patternType="none"/>
    </fill>
    <fill>
      <patternFill patternType="gray125"/>
    </fill>
    <fill>
      <patternFill patternType="solid">
        <fgColor theme="6"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DBE5F1"/>
        <bgColor indexed="64"/>
      </patternFill>
    </fill>
    <fill>
      <patternFill patternType="solid">
        <fgColor theme="3"/>
        <bgColor indexed="64"/>
      </patternFill>
    </fill>
    <fill>
      <patternFill patternType="solid">
        <fgColor theme="4" tint="0.59996337778862885"/>
        <bgColor indexed="64"/>
      </patternFill>
    </fill>
    <fill>
      <patternFill patternType="solid">
        <fgColor theme="4" tint="-0.249977111117893"/>
        <bgColor indexed="64"/>
      </patternFill>
    </fill>
    <fill>
      <patternFill patternType="solid">
        <fgColor rgb="FFFF00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6" tint="0.59996337778862885"/>
        <bgColor indexed="64"/>
      </patternFill>
    </fill>
    <fill>
      <patternFill patternType="solid">
        <fgColor rgb="FFFFFF00"/>
        <bgColor indexed="64"/>
      </patternFill>
    </fill>
    <fill>
      <patternFill patternType="solid">
        <fgColor theme="4" tint="-0.24994659260841701"/>
        <bgColor indexed="64"/>
      </patternFill>
    </fill>
    <fill>
      <patternFill patternType="solid">
        <fgColor rgb="FF1F497D"/>
        <bgColor indexed="64"/>
      </patternFill>
    </fill>
    <fill>
      <patternFill patternType="solid">
        <fgColor rgb="FFF75725"/>
        <bgColor indexed="64"/>
      </patternFill>
    </fill>
    <fill>
      <patternFill patternType="solid">
        <fgColor theme="5" tint="0.79998168889431442"/>
        <bgColor indexed="64"/>
      </patternFill>
    </fill>
    <fill>
      <patternFill patternType="solid">
        <fgColor rgb="FF00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auto="1"/>
      </patternFill>
    </fill>
    <fill>
      <patternFill patternType="solid">
        <fgColor rgb="FFFFDDEE"/>
        <bgColor indexed="64"/>
      </patternFill>
    </fill>
    <fill>
      <gradientFill degree="90">
        <stop position="0">
          <color theme="0"/>
        </stop>
        <stop position="1">
          <color theme="4"/>
        </stop>
      </gradientFill>
    </fill>
    <fill>
      <patternFill patternType="solid">
        <fgColor rgb="FFFFFF9B"/>
        <bgColor indexed="64"/>
      </patternFill>
    </fill>
    <fill>
      <patternFill patternType="solid">
        <fgColor theme="7" tint="0.59999389629810485"/>
        <bgColor indexed="64"/>
      </patternFill>
    </fill>
    <fill>
      <patternFill patternType="solid">
        <fgColor theme="4" tint="0.3999450666829432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00679A"/>
        <bgColor indexed="64"/>
      </patternFill>
    </fill>
    <fill>
      <patternFill patternType="solid">
        <fgColor rgb="FFBACFE4"/>
        <bgColor indexed="64"/>
      </patternFill>
    </fill>
    <fill>
      <patternFill patternType="solid">
        <fgColor rgb="FFFFFF99"/>
        <bgColor indexed="64"/>
      </patternFill>
    </fill>
    <fill>
      <patternFill patternType="solid">
        <fgColor theme="2" tint="-0.499984740745262"/>
        <bgColor indexed="64"/>
      </patternFill>
    </fill>
    <fill>
      <patternFill patternType="solid">
        <fgColor theme="7" tint="0.39994506668294322"/>
        <bgColor indexed="64"/>
      </patternFill>
    </fill>
    <fill>
      <patternFill patternType="solid">
        <fgColor theme="1"/>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5" tint="0.59996337778862885"/>
        <bgColor indexed="64"/>
      </patternFill>
    </fill>
    <fill>
      <patternFill patternType="solid">
        <fgColor theme="3" tint="0.599963377788628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CFF"/>
        <bgColor indexed="64"/>
      </patternFill>
    </fill>
    <fill>
      <patternFill patternType="solid">
        <fgColor rgb="FFFF99FF"/>
        <bgColor indexed="64"/>
      </patternFill>
    </fill>
  </fills>
  <borders count="215">
    <border>
      <left/>
      <right/>
      <top/>
      <bottom/>
      <diagonal/>
    </border>
    <border>
      <left/>
      <right style="medium">
        <color rgb="FF3E5892"/>
      </right>
      <top/>
      <bottom/>
      <diagonal/>
    </border>
    <border>
      <left style="thin">
        <color rgb="FFDBE5F1"/>
      </left>
      <right/>
      <top style="thin">
        <color rgb="FFDBE5F1"/>
      </top>
      <bottom style="thin">
        <color rgb="FFDBE5F1"/>
      </bottom>
      <diagonal/>
    </border>
    <border>
      <left/>
      <right style="thin">
        <color rgb="FFDBE5F1"/>
      </right>
      <top style="thin">
        <color rgb="FFDBE5F1"/>
      </top>
      <bottom style="thin">
        <color rgb="FFDBE5F1"/>
      </bottom>
      <diagonal/>
    </border>
    <border>
      <left/>
      <right/>
      <top style="thin">
        <color rgb="FFDBE5F1"/>
      </top>
      <bottom style="thin">
        <color rgb="FFDBE5F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theme="4" tint="-0.24994659260841701"/>
      </right>
      <top/>
      <bottom/>
      <diagonal/>
    </border>
    <border>
      <left/>
      <right/>
      <top style="thin">
        <color rgb="FFDBE5F1"/>
      </top>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style="thick">
        <color theme="4" tint="0.59996337778862885"/>
      </left>
      <right/>
      <top/>
      <bottom style="thin">
        <color theme="4" tint="0.59996337778862885"/>
      </bottom>
      <diagonal/>
    </border>
    <border>
      <left style="thick">
        <color theme="4" tint="0.59996337778862885"/>
      </left>
      <right/>
      <top style="thin">
        <color theme="4" tint="0.59996337778862885"/>
      </top>
      <bottom style="thin">
        <color theme="4" tint="0.59996337778862885"/>
      </bottom>
      <diagonal/>
    </border>
    <border>
      <left style="thick">
        <color theme="4" tint="0.59996337778862885"/>
      </left>
      <right/>
      <top/>
      <bottom/>
      <diagonal/>
    </border>
    <border>
      <left/>
      <right/>
      <top/>
      <bottom style="thin">
        <color rgb="FFDBE5F1"/>
      </bottom>
      <diagonal/>
    </border>
    <border>
      <left style="thick">
        <color theme="4" tint="0.59996337778862885"/>
      </left>
      <right/>
      <top/>
      <bottom style="thick">
        <color theme="4" tint="0.59996337778862885"/>
      </bottom>
      <diagonal/>
    </border>
    <border>
      <left style="medium">
        <color theme="4" tint="0.59996337778862885"/>
      </left>
      <right/>
      <top/>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style="thin">
        <color theme="4" tint="0.59996337778862885"/>
      </top>
      <bottom/>
      <diagonal/>
    </border>
    <border>
      <left style="medium">
        <color theme="4" tint="0.59996337778862885"/>
      </left>
      <right style="medium">
        <color theme="4" tint="0.59996337778862885"/>
      </right>
      <top style="thin">
        <color theme="4" tint="0.59996337778862885"/>
      </top>
      <bottom style="thin">
        <color theme="4" tint="0.59996337778862885"/>
      </bottom>
      <diagonal/>
    </border>
    <border>
      <left style="medium">
        <color theme="4" tint="0.59996337778862885"/>
      </left>
      <right style="medium">
        <color theme="4" tint="0.59996337778862885"/>
      </right>
      <top style="medium">
        <color theme="4" tint="-0.24994659260841701"/>
      </top>
      <bottom style="thin">
        <color theme="4" tint="0.59996337778862885"/>
      </bottom>
      <diagonal/>
    </border>
    <border>
      <left/>
      <right style="thin">
        <color rgb="FFDBE5F1"/>
      </right>
      <top style="thin">
        <color theme="0"/>
      </top>
      <bottom style="thin">
        <color theme="0"/>
      </bottom>
      <diagonal/>
    </border>
    <border>
      <left/>
      <right/>
      <top style="thin">
        <color theme="0"/>
      </top>
      <bottom style="thin">
        <color theme="0"/>
      </bottom>
      <diagonal/>
    </border>
    <border>
      <left style="medium">
        <color rgb="FFFF0000"/>
      </left>
      <right/>
      <top/>
      <bottom/>
      <diagonal/>
    </border>
    <border>
      <left style="medium">
        <color theme="0"/>
      </left>
      <right/>
      <top/>
      <bottom/>
      <diagonal/>
    </border>
    <border>
      <left/>
      <right/>
      <top/>
      <bottom style="thin">
        <color theme="0"/>
      </bottom>
      <diagonal/>
    </border>
    <border>
      <left style="thin">
        <color theme="3"/>
      </left>
      <right/>
      <top/>
      <bottom/>
      <diagonal/>
    </border>
    <border>
      <left/>
      <right style="thin">
        <color theme="3"/>
      </right>
      <top/>
      <bottom/>
      <diagonal/>
    </border>
    <border>
      <left/>
      <right style="thin">
        <color theme="3"/>
      </right>
      <top/>
      <bottom style="thin">
        <color theme="4" tint="0.59996337778862885"/>
      </bottom>
      <diagonal/>
    </border>
    <border>
      <left/>
      <right style="thin">
        <color theme="3"/>
      </right>
      <top style="thin">
        <color theme="4" tint="0.59996337778862885"/>
      </top>
      <bottom style="thin">
        <color theme="4" tint="0.59996337778862885"/>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style="thick">
        <color theme="4" tint="0.59996337778862885"/>
      </right>
      <top/>
      <bottom style="thin">
        <color theme="4" tint="0.59996337778862885"/>
      </bottom>
      <diagonal/>
    </border>
    <border>
      <left style="thin">
        <color theme="3"/>
      </left>
      <right/>
      <top style="thin">
        <color theme="4" tint="0.59996337778862885"/>
      </top>
      <bottom style="thin">
        <color theme="4" tint="0.59996337778862885"/>
      </bottom>
      <diagonal/>
    </border>
    <border>
      <left style="thin">
        <color theme="3"/>
      </left>
      <right/>
      <top/>
      <bottom style="thin">
        <color theme="4" tint="0.59996337778862885"/>
      </bottom>
      <diagonal/>
    </border>
    <border>
      <left style="thin">
        <color theme="3"/>
      </left>
      <right/>
      <top style="thin">
        <color theme="4" tint="0.59996337778862885"/>
      </top>
      <bottom/>
      <diagonal/>
    </border>
    <border>
      <left style="thin">
        <color theme="3"/>
      </left>
      <right style="thick">
        <color theme="4" tint="0.59996337778862885"/>
      </right>
      <top style="thin">
        <color theme="4" tint="0.59996337778862885"/>
      </top>
      <bottom/>
      <diagonal/>
    </border>
    <border>
      <left style="thin">
        <color theme="3"/>
      </left>
      <right/>
      <top/>
      <bottom style="thick">
        <color theme="4" tint="0.59996337778862885"/>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4" tint="-0.24994659260841701"/>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4" tint="-0.24994659260841701"/>
      </right>
      <top style="thin">
        <color theme="0"/>
      </top>
      <bottom style="thin">
        <color theme="0"/>
      </bottom>
      <diagonal/>
    </border>
    <border>
      <left style="thin">
        <color theme="0"/>
      </left>
      <right style="thin">
        <color theme="0"/>
      </right>
      <top/>
      <bottom style="thin">
        <color theme="0"/>
      </bottom>
      <diagonal/>
    </border>
    <border>
      <left style="thin">
        <color theme="4" tint="-0.24994659260841701"/>
      </left>
      <right/>
      <top/>
      <bottom style="thin">
        <color theme="0"/>
      </bottom>
      <diagonal/>
    </border>
    <border>
      <left style="thin">
        <color theme="4" tint="-0.24994659260841701"/>
      </left>
      <right style="thin">
        <color theme="4" tint="-0.24994659260841701"/>
      </right>
      <top/>
      <bottom style="thin">
        <color theme="4" tint="-0.2499465926084170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4" tint="-0.24994659260841701"/>
      </bottom>
      <diagonal/>
    </border>
    <border>
      <left style="thin">
        <color theme="4" tint="-0.24994659260841701"/>
      </left>
      <right/>
      <top style="thin">
        <color theme="0"/>
      </top>
      <bottom style="thin">
        <color theme="0"/>
      </bottom>
      <diagonal/>
    </border>
    <border>
      <left/>
      <right/>
      <top style="thin">
        <color theme="4" tint="-0.24994659260841701"/>
      </top>
      <bottom/>
      <diagonal/>
    </border>
    <border>
      <left style="thin">
        <color theme="4" tint="-0.24994659260841701"/>
      </left>
      <right style="thin">
        <color theme="4" tint="-0.24994659260841701"/>
      </right>
      <top style="thin">
        <color theme="0"/>
      </top>
      <bottom style="thin">
        <color theme="0"/>
      </bottom>
      <diagonal/>
    </border>
    <border>
      <left/>
      <right/>
      <top/>
      <bottom style="thin">
        <color theme="4" tint="-0.24994659260841701"/>
      </bottom>
      <diagonal/>
    </border>
    <border>
      <left/>
      <right/>
      <top style="medium">
        <color theme="0"/>
      </top>
      <bottom style="medium">
        <color theme="0"/>
      </bottom>
      <diagonal/>
    </border>
    <border>
      <left/>
      <right/>
      <top/>
      <bottom style="medium">
        <color theme="0"/>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right style="medium">
        <color theme="4" tint="-0.24994659260841701"/>
      </right>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top/>
      <bottom style="medium">
        <color theme="4" tint="-0.24994659260841701"/>
      </bottom>
      <diagonal/>
    </border>
    <border>
      <left/>
      <right style="thin">
        <color theme="4" tint="0.79998168889431442"/>
      </right>
      <top/>
      <bottom style="thin">
        <color theme="0"/>
      </bottom>
      <diagonal/>
    </border>
    <border>
      <left style="thin">
        <color theme="4" tint="0.79998168889431442"/>
      </left>
      <right style="thin">
        <color theme="4" tint="0.79998168889431442"/>
      </right>
      <top style="thin">
        <color theme="4" tint="0.79998168889431442"/>
      </top>
      <bottom style="thin">
        <color theme="4" tint="-0.24994659260841701"/>
      </bottom>
      <diagonal/>
    </border>
    <border>
      <left/>
      <right style="thin">
        <color theme="4" tint="0.79998168889431442"/>
      </right>
      <top style="thin">
        <color theme="0"/>
      </top>
      <bottom style="thin">
        <color theme="0"/>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bottom style="thin">
        <color theme="4" tint="0.3999450666829432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bottom/>
      <diagonal/>
    </border>
    <border>
      <left style="thin">
        <color theme="4" tint="0.79998168889431442"/>
      </left>
      <right style="thin">
        <color theme="4" tint="0.79998168889431442"/>
      </right>
      <top/>
      <bottom/>
      <diagonal/>
    </border>
    <border>
      <left/>
      <right/>
      <top style="thin">
        <color theme="4" tint="-0.24994659260841701"/>
      </top>
      <bottom style="thin">
        <color theme="0"/>
      </bottom>
      <diagonal/>
    </border>
    <border>
      <left/>
      <right style="thin">
        <color theme="4" tint="0.79998168889431442"/>
      </right>
      <top style="thin">
        <color theme="0"/>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0"/>
      </top>
      <bottom style="thin">
        <color theme="4" tint="0.79998168889431442"/>
      </bottom>
      <diagonal/>
    </border>
    <border>
      <left/>
      <right style="thin">
        <color theme="4" tint="-0.24994659260841701"/>
      </right>
      <top style="thin">
        <color theme="4" tint="-0.24994659260841701"/>
      </top>
      <bottom/>
      <diagonal/>
    </border>
    <border>
      <left/>
      <right style="thin">
        <color theme="4" tint="-0.24994659260841701"/>
      </right>
      <top/>
      <bottom style="thin">
        <color theme="4"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rgb="FF00679A"/>
      </top>
      <bottom/>
      <diagonal/>
    </border>
    <border>
      <left style="medium">
        <color rgb="FFBACFE4"/>
      </left>
      <right/>
      <top style="medium">
        <color rgb="FFBACFE4"/>
      </top>
      <bottom/>
      <diagonal/>
    </border>
    <border>
      <left/>
      <right style="medium">
        <color rgb="FFBACFE4"/>
      </right>
      <top style="medium">
        <color rgb="FFBACFE4"/>
      </top>
      <bottom/>
      <diagonal/>
    </border>
    <border>
      <left style="medium">
        <color rgb="FFBACFE4"/>
      </left>
      <right/>
      <top/>
      <bottom/>
      <diagonal/>
    </border>
    <border>
      <left/>
      <right style="medium">
        <color rgb="FFBACFE4"/>
      </right>
      <top/>
      <bottom/>
      <diagonal/>
    </border>
    <border>
      <left style="medium">
        <color rgb="FFBACFE4"/>
      </left>
      <right/>
      <top/>
      <bottom style="medium">
        <color rgb="FFBACFE4"/>
      </bottom>
      <diagonal/>
    </border>
    <border>
      <left/>
      <right style="medium">
        <color rgb="FFBACFE4"/>
      </right>
      <top/>
      <bottom style="medium">
        <color rgb="FFBACFE4"/>
      </bottom>
      <diagonal/>
    </border>
    <border>
      <left style="thin">
        <color theme="4" tint="0.79995117038483843"/>
      </left>
      <right/>
      <top style="thin">
        <color theme="4" tint="0.79995117038483843"/>
      </top>
      <bottom style="thin">
        <color theme="4" tint="0.79995117038483843"/>
      </bottom>
      <diagonal/>
    </border>
    <border>
      <left/>
      <right/>
      <top style="thin">
        <color theme="4" tint="0.79995117038483843"/>
      </top>
      <bottom style="thin">
        <color theme="4" tint="0.79995117038483843"/>
      </bottom>
      <diagonal/>
    </border>
    <border>
      <left/>
      <right style="thin">
        <color theme="4" tint="0.79995117038483843"/>
      </right>
      <top style="thin">
        <color theme="4" tint="0.79995117038483843"/>
      </top>
      <bottom style="thin">
        <color theme="4" tint="0.79995117038483843"/>
      </bottom>
      <diagonal/>
    </border>
    <border>
      <left style="thin">
        <color theme="4" tint="0.79995117038483843"/>
      </left>
      <right/>
      <top style="thin">
        <color theme="4" tint="0.79992065187536243"/>
      </top>
      <bottom/>
      <diagonal/>
    </border>
    <border>
      <left/>
      <right/>
      <top style="thin">
        <color theme="4" tint="0.79992065187536243"/>
      </top>
      <bottom/>
      <diagonal/>
    </border>
    <border>
      <left/>
      <right style="thin">
        <color theme="4" tint="0.79989013336588644"/>
      </right>
      <top style="thin">
        <color theme="4" tint="0.79992065187536243"/>
      </top>
      <bottom/>
      <diagonal/>
    </border>
    <border>
      <left/>
      <right style="thin">
        <color theme="4" tint="0.79989013336588644"/>
      </right>
      <top/>
      <bottom style="thin">
        <color theme="4" tint="0.79992065187536243"/>
      </bottom>
      <diagonal/>
    </border>
    <border>
      <left style="thin">
        <color theme="4" tint="0.79992065187536243"/>
      </left>
      <right/>
      <top style="thin">
        <color theme="4" tint="0.79992065187536243"/>
      </top>
      <bottom style="thin">
        <color theme="4" tint="0.79992065187536243"/>
      </bottom>
      <diagonal/>
    </border>
    <border>
      <left/>
      <right/>
      <top style="thin">
        <color theme="4" tint="0.79992065187536243"/>
      </top>
      <bottom style="thin">
        <color theme="4" tint="0.79992065187536243"/>
      </bottom>
      <diagonal/>
    </border>
    <border>
      <left/>
      <right style="thin">
        <color theme="4" tint="0.79992065187536243"/>
      </right>
      <top style="thin">
        <color theme="4" tint="0.79992065187536243"/>
      </top>
      <bottom style="thin">
        <color theme="4" tint="0.79992065187536243"/>
      </bottom>
      <diagonal/>
    </border>
    <border>
      <left/>
      <right style="thin">
        <color theme="4" tint="0.79989013336588644"/>
      </right>
      <top/>
      <bottom/>
      <diagonal/>
    </border>
    <border>
      <left style="thin">
        <color theme="4" tint="0.79995117038483843"/>
      </left>
      <right/>
      <top style="thin">
        <color theme="4" tint="0.79995117038483843"/>
      </top>
      <bottom style="thin">
        <color theme="4" tint="0.79992065187536243"/>
      </bottom>
      <diagonal/>
    </border>
    <border>
      <left/>
      <right/>
      <top style="thin">
        <color theme="4" tint="0.79995117038483843"/>
      </top>
      <bottom style="thin">
        <color theme="4" tint="0.79992065187536243"/>
      </bottom>
      <diagonal/>
    </border>
    <border>
      <left/>
      <right style="thin">
        <color theme="4" tint="0.79995117038483843"/>
      </right>
      <top style="thin">
        <color theme="4" tint="0.79995117038483843"/>
      </top>
      <bottom style="thin">
        <color theme="4" tint="0.79992065187536243"/>
      </bottom>
      <diagonal/>
    </border>
    <border>
      <left/>
      <right/>
      <top/>
      <bottom style="thin">
        <color theme="4" tint="0.79992065187536243"/>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right style="thin">
        <color theme="4" tint="0.79992065187536243"/>
      </right>
      <top style="thin">
        <color theme="4" tint="0.79995117038483843"/>
      </top>
      <bottom style="thin">
        <color theme="4" tint="0.79992065187536243"/>
      </bottom>
      <diagonal/>
    </border>
    <border>
      <left style="medium">
        <color theme="4" tint="-0.24994659260841701"/>
      </left>
      <right/>
      <top/>
      <bottom style="medium">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style="medium">
        <color theme="4" tint="0.79998168889431442"/>
      </left>
      <right style="medium">
        <color theme="4" tint="-0.24994659260841701"/>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1454817346722"/>
      </left>
      <right style="thin">
        <color theme="4" tint="0.39994506668294322"/>
      </right>
      <top style="thin">
        <color theme="4" tint="0.39994506668294322"/>
      </top>
      <bottom style="thin">
        <color theme="4" tint="0.39994506668294322"/>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medium">
        <color theme="4" tint="0.79998168889431442"/>
      </left>
      <right style="medium">
        <color theme="4" tint="-0.24994659260841701"/>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style="thin">
        <color theme="4" tint="0.39991454817346722"/>
      </left>
      <right/>
      <top style="thin">
        <color theme="4" tint="0.39991454817346722"/>
      </top>
      <bottom/>
      <diagonal/>
    </border>
    <border>
      <left/>
      <right/>
      <top style="thin">
        <color theme="4" tint="0.39991454817346722"/>
      </top>
      <bottom/>
      <diagonal/>
    </border>
    <border>
      <left/>
      <right style="thin">
        <color theme="4" tint="0.39991454817346722"/>
      </right>
      <top style="thin">
        <color theme="4" tint="0.39991454817346722"/>
      </top>
      <bottom/>
      <diagonal/>
    </border>
    <border>
      <left style="thin">
        <color theme="4" tint="0.39994506668294322"/>
      </left>
      <right style="thin">
        <color theme="4" tint="0.39994506668294322"/>
      </right>
      <top/>
      <bottom style="thin">
        <color theme="4" tint="0.39991454817346722"/>
      </bottom>
      <diagonal/>
    </border>
    <border>
      <left style="thin">
        <color theme="4" tint="0.39991454817346722"/>
      </left>
      <right/>
      <top/>
      <bottom style="thin">
        <color theme="4" tint="0.39991454817346722"/>
      </bottom>
      <diagonal/>
    </border>
    <border>
      <left/>
      <right/>
      <top/>
      <bottom style="thin">
        <color theme="4" tint="0.39991454817346722"/>
      </bottom>
      <diagonal/>
    </border>
    <border>
      <left/>
      <right style="thin">
        <color theme="4" tint="0.39991454817346722"/>
      </right>
      <top/>
      <bottom style="thin">
        <color theme="4" tint="0.39991454817346722"/>
      </bottom>
      <diagonal/>
    </border>
    <border>
      <left style="medium">
        <color theme="4" tint="0.79998168889431442"/>
      </left>
      <right/>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style="thin">
        <color theme="4" tint="0.39991454817346722"/>
      </right>
      <top/>
      <bottom/>
      <diagonal/>
    </border>
    <border>
      <left style="medium">
        <color theme="4" tint="-0.24994659260841701"/>
      </left>
      <right/>
      <top style="medium">
        <color rgb="FFFF0000"/>
      </top>
      <bottom style="medium">
        <color rgb="FFFF0000"/>
      </bottom>
      <diagonal/>
    </border>
    <border>
      <left/>
      <right/>
      <top/>
      <bottom style="medium">
        <color theme="3" tint="0.39994506668294322"/>
      </bottom>
      <diagonal/>
    </border>
    <border>
      <left style="medium">
        <color theme="3" tint="0.39991454817346722"/>
      </left>
      <right/>
      <top style="medium">
        <color theme="3" tint="0.39994506668294322"/>
      </top>
      <bottom/>
      <diagonal/>
    </border>
    <border>
      <left/>
      <right/>
      <top style="medium">
        <color theme="3" tint="0.39994506668294322"/>
      </top>
      <bottom style="thin">
        <color theme="4" tint="0.59996337778862885"/>
      </bottom>
      <diagonal/>
    </border>
    <border>
      <left/>
      <right/>
      <top style="medium">
        <color theme="3" tint="0.39994506668294322"/>
      </top>
      <bottom/>
      <diagonal/>
    </border>
    <border>
      <left/>
      <right style="medium">
        <color theme="3" tint="0.39991454817346722"/>
      </right>
      <top style="medium">
        <color theme="3" tint="0.39994506668294322"/>
      </top>
      <bottom style="thin">
        <color theme="4" tint="0.59996337778862885"/>
      </bottom>
      <diagonal/>
    </border>
    <border>
      <left style="medium">
        <color theme="3" tint="0.39991454817346722"/>
      </left>
      <right/>
      <top/>
      <bottom/>
      <diagonal/>
    </border>
    <border>
      <left/>
      <right style="medium">
        <color theme="3" tint="0.39994506668294322"/>
      </right>
      <top/>
      <bottom style="thin">
        <color theme="4" tint="0.59996337778862885"/>
      </bottom>
      <diagonal/>
    </border>
    <border>
      <left style="medium">
        <color theme="3" tint="0.39991454817346722"/>
      </left>
      <right/>
      <top/>
      <bottom style="medium">
        <color theme="3" tint="0.39994506668294322"/>
      </bottom>
      <diagonal/>
    </border>
    <border>
      <left/>
      <right style="medium">
        <color theme="3" tint="0.39991454817346722"/>
      </right>
      <top/>
      <bottom style="medium">
        <color theme="3" tint="0.39994506668294322"/>
      </bottom>
      <diagonal/>
    </border>
    <border>
      <left style="medium">
        <color theme="3" tint="0.39994506668294322"/>
      </left>
      <right style="medium">
        <color theme="3" tint="0.39991454817346722"/>
      </right>
      <top style="medium">
        <color theme="3" tint="0.39994506668294322"/>
      </top>
      <bottom/>
      <diagonal/>
    </border>
    <border>
      <left/>
      <right style="medium">
        <color theme="3" tint="0.39991454817346722"/>
      </right>
      <top/>
      <bottom/>
      <diagonal/>
    </border>
    <border>
      <left style="medium">
        <color theme="3" tint="0.39991454817346722"/>
      </left>
      <right style="medium">
        <color theme="3" tint="0.39991454817346722"/>
      </right>
      <top style="medium">
        <color theme="3" tint="0.39994506668294322"/>
      </top>
      <bottom style="thin">
        <color theme="3" tint="0.39991454817346722"/>
      </bottom>
      <diagonal/>
    </border>
    <border>
      <left style="medium">
        <color theme="3" tint="0.39988402966399123"/>
      </left>
      <right style="medium">
        <color theme="3" tint="0.39988402966399123"/>
      </right>
      <top style="medium">
        <color theme="3" tint="0.39994506668294322"/>
      </top>
      <bottom style="thin">
        <color theme="3" tint="0.39991454817346722"/>
      </bottom>
      <diagonal/>
    </border>
    <border>
      <left style="medium">
        <color theme="3" tint="0.39994506668294322"/>
      </left>
      <right style="medium">
        <color theme="3" tint="0.39991454817346722"/>
      </right>
      <top/>
      <bottom/>
      <diagonal/>
    </border>
    <border>
      <left style="medium">
        <color theme="3" tint="0.39991454817346722"/>
      </left>
      <right style="medium">
        <color theme="3" tint="0.39991454817346722"/>
      </right>
      <top style="thin">
        <color theme="3" tint="0.39988402966399123"/>
      </top>
      <bottom style="thin">
        <color theme="3" tint="0.39988402966399123"/>
      </bottom>
      <diagonal/>
    </border>
    <border>
      <left style="medium">
        <color theme="3" tint="0.39988402966399123"/>
      </left>
      <right style="medium">
        <color theme="3" tint="0.39988402966399123"/>
      </right>
      <top style="thin">
        <color theme="3" tint="0.39988402966399123"/>
      </top>
      <bottom style="thin">
        <color theme="3" tint="0.39988402966399123"/>
      </bottom>
      <diagonal/>
    </border>
    <border>
      <left style="medium">
        <color theme="3" tint="0.39988402966399123"/>
      </left>
      <right style="medium">
        <color theme="3" tint="0.39988402966399123"/>
      </right>
      <top style="thin">
        <color theme="3" tint="0.39991454817346722"/>
      </top>
      <bottom style="thin">
        <color theme="3" tint="0.39988402966399123"/>
      </bottom>
      <diagonal/>
    </border>
    <border>
      <left style="medium">
        <color theme="3" tint="0.39988402966399123"/>
      </left>
      <right style="medium">
        <color theme="3" tint="0.39988402966399123"/>
      </right>
      <top style="thin">
        <color theme="3" tint="0.39991454817346722"/>
      </top>
      <bottom style="thin">
        <color theme="3" tint="0.39991454817346722"/>
      </bottom>
      <diagonal/>
    </border>
    <border>
      <left style="medium">
        <color theme="3" tint="0.39994506668294322"/>
      </left>
      <right style="medium">
        <color theme="3" tint="0.39991454817346722"/>
      </right>
      <top/>
      <bottom style="medium">
        <color theme="3" tint="0.39991454817346722"/>
      </bottom>
      <diagonal/>
    </border>
    <border>
      <left style="medium">
        <color theme="3" tint="0.39991454817346722"/>
      </left>
      <right style="medium">
        <color theme="3" tint="0.39991454817346722"/>
      </right>
      <top style="thin">
        <color theme="3" tint="0.39988402966399123"/>
      </top>
      <bottom style="medium">
        <color theme="3" tint="0.39988402966399123"/>
      </bottom>
      <diagonal/>
    </border>
    <border>
      <left style="medium">
        <color theme="3" tint="0.39988402966399123"/>
      </left>
      <right style="medium">
        <color theme="3" tint="0.39988402966399123"/>
      </right>
      <top style="thin">
        <color theme="3" tint="0.39988402966399123"/>
      </top>
      <bottom style="medium">
        <color theme="3" tint="0.39988402966399123"/>
      </bottom>
      <diagonal/>
    </border>
    <border>
      <left/>
      <right/>
      <top/>
      <bottom style="medium">
        <color theme="3" tint="0.39988402966399123"/>
      </bottom>
      <diagonal/>
    </border>
    <border>
      <left style="medium">
        <color theme="3" tint="0.39991454817346722"/>
      </left>
      <right style="medium">
        <color theme="3" tint="0.39988402966399123"/>
      </right>
      <top/>
      <bottom/>
      <diagonal/>
    </border>
    <border>
      <left style="medium">
        <color theme="3" tint="0.39988402966399123"/>
      </left>
      <right style="medium">
        <color theme="3" tint="0.39985351115451523"/>
      </right>
      <top style="medium">
        <color theme="3" tint="0.39994506668294322"/>
      </top>
      <bottom style="thin">
        <color theme="3" tint="0.39991454817346722"/>
      </bottom>
      <diagonal/>
    </border>
    <border>
      <left style="medium">
        <color theme="3" tint="0.39988402966399123"/>
      </left>
      <right style="medium">
        <color theme="3" tint="0.39994506668294322"/>
      </right>
      <top style="medium">
        <color theme="3" tint="0.39994506668294322"/>
      </top>
      <bottom style="thin">
        <color theme="3" tint="0.39991454817346722"/>
      </bottom>
      <diagonal/>
    </border>
    <border>
      <left style="medium">
        <color theme="3" tint="0.39988402966399123"/>
      </left>
      <right style="medium">
        <color theme="3" tint="0.39985351115451523"/>
      </right>
      <top style="thin">
        <color theme="3" tint="0.39988402966399123"/>
      </top>
      <bottom style="thin">
        <color theme="3" tint="0.39988402966399123"/>
      </bottom>
      <diagonal/>
    </border>
    <border>
      <left style="medium">
        <color theme="3" tint="0.39988402966399123"/>
      </left>
      <right style="medium">
        <color theme="3" tint="0.39988402966399123"/>
      </right>
      <top/>
      <bottom style="thin">
        <color theme="3" tint="0.39991454817346722"/>
      </bottom>
      <diagonal/>
    </border>
    <border>
      <left style="medium">
        <color theme="3" tint="0.39988402966399123"/>
      </left>
      <right style="medium">
        <color theme="3" tint="0.39985351115451523"/>
      </right>
      <top/>
      <bottom/>
      <diagonal/>
    </border>
    <border>
      <left style="medium">
        <color theme="3" tint="0.39988402966399123"/>
      </left>
      <right style="medium">
        <color theme="3" tint="0.39988402966399123"/>
      </right>
      <top/>
      <bottom/>
      <diagonal/>
    </border>
    <border>
      <left style="medium">
        <color theme="3" tint="0.39988402966399123"/>
      </left>
      <right style="medium">
        <color theme="3" tint="0.39985351115451523"/>
      </right>
      <top style="thin">
        <color theme="3" tint="0.39991454817346722"/>
      </top>
      <bottom style="thin">
        <color theme="3" tint="0.39991454817346722"/>
      </bottom>
      <diagonal/>
    </border>
    <border>
      <left style="medium">
        <color theme="3" tint="0.39988402966399123"/>
      </left>
      <right style="medium">
        <color theme="3" tint="0.39994506668294322"/>
      </right>
      <top style="thin">
        <color theme="3" tint="0.39991454817346722"/>
      </top>
      <bottom style="thin">
        <color theme="3" tint="0.39991454817346722"/>
      </bottom>
      <diagonal/>
    </border>
    <border>
      <left style="medium">
        <color theme="3" tint="0.39988402966399123"/>
      </left>
      <right style="medium">
        <color theme="3" tint="0.39985351115451523"/>
      </right>
      <top style="thin">
        <color theme="3" tint="0.39991454817346722"/>
      </top>
      <bottom/>
      <diagonal/>
    </border>
    <border>
      <left style="medium">
        <color theme="3" tint="0.39988402966399123"/>
      </left>
      <right style="medium">
        <color theme="3" tint="0.39988402966399123"/>
      </right>
      <top style="thin">
        <color theme="3" tint="0.39991454817346722"/>
      </top>
      <bottom/>
      <diagonal/>
    </border>
    <border>
      <left style="medium">
        <color theme="3" tint="0.39988402966399123"/>
      </left>
      <right style="medium">
        <color theme="3" tint="0.39985351115451523"/>
      </right>
      <top style="thin">
        <color theme="3" tint="0.39991454817346722"/>
      </top>
      <bottom style="medium">
        <color theme="3" tint="0.39988402966399123"/>
      </bottom>
      <diagonal/>
    </border>
    <border>
      <left style="medium">
        <color theme="3" tint="0.39988402966399123"/>
      </left>
      <right style="medium">
        <color theme="3" tint="0.39988402966399123"/>
      </right>
      <top style="thin">
        <color theme="3" tint="0.39991454817346722"/>
      </top>
      <bottom style="medium">
        <color theme="3" tint="0.39988402966399123"/>
      </bottom>
      <diagonal/>
    </border>
    <border>
      <left style="medium">
        <color theme="3" tint="0.39994506668294322"/>
      </left>
      <right/>
      <top style="medium">
        <color theme="3" tint="0.39994506668294322"/>
      </top>
      <bottom/>
      <diagonal/>
    </border>
    <border>
      <left style="medium">
        <color theme="3" tint="0.39985351115451523"/>
      </left>
      <right style="medium">
        <color theme="3" tint="0.39988402966399123"/>
      </right>
      <top/>
      <bottom/>
      <diagonal/>
    </border>
    <border>
      <left style="medium">
        <color theme="3" tint="0.39988402966399123"/>
      </left>
      <right/>
      <top style="medium">
        <color theme="3" tint="0.39994506668294322"/>
      </top>
      <bottom style="thin">
        <color theme="3" tint="0.39991454817346722"/>
      </bottom>
      <diagonal/>
    </border>
    <border>
      <left style="medium">
        <color theme="3" tint="0.39994506668294322"/>
      </left>
      <right/>
      <top/>
      <bottom/>
      <diagonal/>
    </border>
    <border>
      <left style="medium">
        <color theme="3" tint="0.39988402966399123"/>
      </left>
      <right style="medium">
        <color theme="3" tint="0.39985351115451523"/>
      </right>
      <top/>
      <bottom style="thin">
        <color theme="3" tint="0.39991454817346722"/>
      </bottom>
      <diagonal/>
    </border>
    <border>
      <left style="medium">
        <color theme="3" tint="0.39988402966399123"/>
      </left>
      <right style="medium">
        <color theme="3" tint="0.39994506668294322"/>
      </right>
      <top/>
      <bottom style="thin">
        <color theme="3" tint="0.39991454817346722"/>
      </bottom>
      <diagonal/>
    </border>
    <border>
      <left style="medium">
        <color theme="3" tint="0.39988402966399123"/>
      </left>
      <right style="medium">
        <color theme="3" tint="0.39994506668294322"/>
      </right>
      <top style="thin">
        <color theme="3" tint="0.39991454817346722"/>
      </top>
      <bottom/>
      <diagonal/>
    </border>
    <border>
      <left style="medium">
        <color theme="3" tint="0.39994506668294322"/>
      </left>
      <right/>
      <top/>
      <bottom style="medium">
        <color theme="3" tint="0.39991454817346722"/>
      </bottom>
      <diagonal/>
    </border>
    <border>
      <left style="medium">
        <color theme="3" tint="0.39988402966399123"/>
      </left>
      <right/>
      <top style="thin">
        <color theme="3" tint="0.39991454817346722"/>
      </top>
      <bottom style="medium">
        <color theme="3" tint="0.39988402966399123"/>
      </bottom>
      <diagonal/>
    </border>
    <border>
      <left style="medium">
        <color theme="3" tint="0.39991454817346722"/>
      </left>
      <right style="medium">
        <color theme="3" tint="0.39994506668294322"/>
      </right>
      <top style="medium">
        <color theme="3" tint="0.39994506668294322"/>
      </top>
      <bottom style="thin">
        <color theme="3" tint="0.39991454817346722"/>
      </bottom>
      <diagonal/>
    </border>
    <border>
      <left style="medium">
        <color theme="3" tint="0.39991454817346722"/>
      </left>
      <right style="medium">
        <color theme="3" tint="0.39988402966399123"/>
      </right>
      <top/>
      <bottom style="thin">
        <color theme="3" tint="0.39991454817346722"/>
      </bottom>
      <diagonal/>
    </border>
    <border>
      <left style="medium">
        <color theme="3" tint="0.39991454817346722"/>
      </left>
      <right style="medium">
        <color theme="3" tint="0.39991454817346722"/>
      </right>
      <top/>
      <bottom style="thin">
        <color theme="3" tint="0.39991454817346722"/>
      </bottom>
      <diagonal/>
    </border>
    <border>
      <left style="medium">
        <color theme="3" tint="0.39991454817346722"/>
      </left>
      <right style="medium">
        <color theme="3" tint="0.39994506668294322"/>
      </right>
      <top/>
      <bottom style="thin">
        <color theme="3" tint="0.39991454817346722"/>
      </bottom>
      <diagonal/>
    </border>
    <border>
      <left style="medium">
        <color theme="3" tint="0.39991454817346722"/>
      </left>
      <right style="medium">
        <color theme="3" tint="0.39991454817346722"/>
      </right>
      <top style="thin">
        <color theme="3" tint="0.39991454817346722"/>
      </top>
      <bottom style="thin">
        <color theme="3" tint="0.39991454817346722"/>
      </bottom>
      <diagonal/>
    </border>
    <border>
      <left style="medium">
        <color theme="3" tint="0.39991454817346722"/>
      </left>
      <right style="medium">
        <color theme="3" tint="0.39994506668294322"/>
      </right>
      <top style="thin">
        <color theme="3" tint="0.39991454817346722"/>
      </top>
      <bottom style="thin">
        <color theme="3" tint="0.39991454817346722"/>
      </bottom>
      <diagonal/>
    </border>
    <border>
      <left style="medium">
        <color theme="3" tint="0.39991454817346722"/>
      </left>
      <right style="medium">
        <color theme="3" tint="0.39991454817346722"/>
      </right>
      <top style="thin">
        <color theme="3" tint="0.39991454817346722"/>
      </top>
      <bottom/>
      <diagonal/>
    </border>
    <border>
      <left style="medium">
        <color theme="3" tint="0.39991454817346722"/>
      </left>
      <right style="medium">
        <color theme="3" tint="0.39994506668294322"/>
      </right>
      <top style="thin">
        <color theme="3" tint="0.39991454817346722"/>
      </top>
      <bottom/>
      <diagonal/>
    </border>
    <border>
      <left style="medium">
        <color theme="3" tint="0.39991454817346722"/>
      </left>
      <right style="medium">
        <color theme="3" tint="0.39991454817346722"/>
      </right>
      <top style="thin">
        <color theme="3" tint="0.39991454817346722"/>
      </top>
      <bottom style="medium">
        <color theme="3" tint="0.39988402966399123"/>
      </bottom>
      <diagonal/>
    </border>
    <border>
      <left style="medium">
        <color theme="3" tint="0.39991454817346722"/>
      </left>
      <right style="medium">
        <color theme="3" tint="0.39988402966399123"/>
      </right>
      <top style="thin">
        <color theme="3" tint="0.39991454817346722"/>
      </top>
      <bottom style="medium">
        <color theme="3" tint="0.39988402966399123"/>
      </bottom>
      <diagonal/>
    </border>
    <border>
      <left style="medium">
        <color rgb="FFFF0000"/>
      </left>
      <right style="medium">
        <color rgb="FFFF0000"/>
      </right>
      <top style="medium">
        <color rgb="FFFF0000"/>
      </top>
      <bottom style="medium">
        <color rgb="FFFF0000"/>
      </bottom>
      <diagonal/>
    </border>
    <border>
      <left style="thin">
        <color rgb="FFDBE5F1"/>
      </left>
      <right/>
      <top style="thin">
        <color theme="0"/>
      </top>
      <bottom style="thin">
        <color rgb="FFDBE5F1"/>
      </bottom>
      <diagonal/>
    </border>
    <border>
      <left/>
      <right style="medium">
        <color rgb="FFFF0000"/>
      </right>
      <top/>
      <bottom/>
      <diagonal/>
    </border>
    <border>
      <left/>
      <right/>
      <top style="medium">
        <color theme="4" tint="0.59996337778862885"/>
      </top>
      <bottom style="medium">
        <color theme="4" tint="0.59996337778862885"/>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right style="thin">
        <color rgb="FFDBE5F1"/>
      </right>
      <top style="thin">
        <color theme="0"/>
      </top>
      <bottom style="thin">
        <color rgb="FFDBE5F1"/>
      </bottom>
      <diagonal/>
    </border>
    <border>
      <left style="medium">
        <color rgb="FF3E5892"/>
      </left>
      <right/>
      <top style="medium">
        <color rgb="FF3E5892"/>
      </top>
      <bottom style="medium">
        <color rgb="FF3E5892"/>
      </bottom>
      <diagonal/>
    </border>
    <border>
      <left style="thin">
        <color rgb="FFDBE5F1"/>
      </left>
      <right/>
      <top style="thin">
        <color theme="0"/>
      </top>
      <bottom/>
      <diagonal/>
    </border>
    <border>
      <left/>
      <right style="medium">
        <color rgb="FF3E5892"/>
      </right>
      <top style="medium">
        <color rgb="FF3E5892"/>
      </top>
      <bottom style="medium">
        <color rgb="FF3E5892"/>
      </bottom>
      <diagonal/>
    </border>
    <border>
      <left style="thin">
        <color rgb="FFDBE5F1"/>
      </left>
      <right/>
      <top style="thin">
        <color theme="0"/>
      </top>
      <bottom style="thin">
        <color theme="0"/>
      </bottom>
      <diagonal/>
    </border>
    <border>
      <left/>
      <right/>
      <top style="thin">
        <color theme="4" tint="0.59996337778862885"/>
      </top>
      <bottom style="thick">
        <color theme="4" tint="0.59996337778862885"/>
      </bottom>
      <diagonal/>
    </border>
    <border>
      <left/>
      <right style="thin">
        <color theme="3"/>
      </right>
      <top style="thin">
        <color theme="4" tint="0.59996337778862885"/>
      </top>
      <bottom style="thick">
        <color theme="4" tint="0.59996337778862885"/>
      </bottom>
      <diagonal/>
    </border>
    <border>
      <left/>
      <right/>
      <top style="thick">
        <color rgb="FF1F497D"/>
      </top>
      <bottom style="thick">
        <color rgb="FF1F497D"/>
      </bottom>
      <diagonal/>
    </border>
    <border>
      <left/>
      <right/>
      <top/>
      <bottom style="thick">
        <color rgb="FF1F497D"/>
      </bottom>
      <diagonal/>
    </border>
  </borders>
  <cellStyleXfs count="33">
    <xf numFmtId="0" fontId="0" fillId="0" borderId="0"/>
    <xf numFmtId="44" fontId="13" fillId="0" borderId="0" applyFont="0" applyFill="0" applyBorder="0" applyAlignment="0" applyProtection="0"/>
    <xf numFmtId="9" fontId="13" fillId="0" borderId="0" applyFont="0" applyFill="0" applyBorder="0" applyAlignment="0" applyProtection="0"/>
    <xf numFmtId="0" fontId="12"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32" fillId="0" borderId="0" applyNumberFormat="0" applyFill="0" applyBorder="0" applyAlignment="0" applyProtection="0">
      <alignment vertical="top"/>
      <protection locked="0"/>
    </xf>
    <xf numFmtId="0" fontId="11"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0" fontId="10" fillId="0" borderId="0"/>
    <xf numFmtId="0" fontId="100" fillId="0" borderId="0" applyNumberFormat="0" applyFill="0" applyBorder="0" applyAlignment="0" applyProtection="0">
      <alignment vertical="top"/>
      <protection locked="0"/>
    </xf>
    <xf numFmtId="9" fontId="101" fillId="0" borderId="0" applyFont="0" applyFill="0" applyBorder="0" applyAlignment="0" applyProtection="0"/>
    <xf numFmtId="44" fontId="101" fillId="0" borderId="0" applyFont="0" applyFill="0" applyBorder="0" applyAlignment="0" applyProtection="0"/>
    <xf numFmtId="9" fontId="101"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109">
    <xf numFmtId="0" fontId="0" fillId="0" borderId="0" xfId="0"/>
    <xf numFmtId="0" fontId="0" fillId="0" borderId="0" xfId="0" applyFill="1" applyBorder="1"/>
    <xf numFmtId="0" fontId="0" fillId="0" borderId="0" xfId="0" applyBorder="1"/>
    <xf numFmtId="0" fontId="22" fillId="0" borderId="0" xfId="0" applyFont="1" applyBorder="1"/>
    <xf numFmtId="44" fontId="0" fillId="0" borderId="0" xfId="1" applyFont="1" applyBorder="1"/>
    <xf numFmtId="44" fontId="16" fillId="0" borderId="0" xfId="1" applyFont="1" applyBorder="1"/>
    <xf numFmtId="0" fontId="21" fillId="0" borderId="0" xfId="0" applyFont="1" applyBorder="1"/>
    <xf numFmtId="0" fontId="0" fillId="5" borderId="0" xfId="0" applyFill="1" applyBorder="1" applyAlignment="1"/>
    <xf numFmtId="0" fontId="24" fillId="0" borderId="0" xfId="0" applyFont="1" applyBorder="1" applyAlignment="1">
      <alignment wrapText="1"/>
    </xf>
    <xf numFmtId="0" fontId="24" fillId="0" borderId="0" xfId="0" applyFont="1" applyBorder="1"/>
    <xf numFmtId="0" fontId="0" fillId="5" borderId="0" xfId="0" applyFill="1" applyBorder="1"/>
    <xf numFmtId="0" fontId="22" fillId="0" borderId="0" xfId="0" applyFont="1" applyFill="1" applyBorder="1"/>
    <xf numFmtId="0" fontId="0" fillId="0" borderId="0" xfId="0" applyBorder="1" applyAlignment="1">
      <alignment vertical="center"/>
    </xf>
    <xf numFmtId="44" fontId="0" fillId="0" borderId="0" xfId="1" applyFont="1" applyBorder="1" applyAlignment="1">
      <alignment vertical="center"/>
    </xf>
    <xf numFmtId="44" fontId="16" fillId="0" borderId="0" xfId="1" applyFont="1" applyBorder="1" applyAlignment="1">
      <alignment vertical="center"/>
    </xf>
    <xf numFmtId="0" fontId="21" fillId="0" borderId="0" xfId="0" applyFont="1" applyBorder="1" applyAlignment="1">
      <alignment vertical="center"/>
    </xf>
    <xf numFmtId="0" fontId="0" fillId="5" borderId="0" xfId="0" applyFill="1" applyBorder="1" applyAlignment="1">
      <alignment vertical="center"/>
    </xf>
    <xf numFmtId="0" fontId="13" fillId="0" borderId="0" xfId="0" applyFont="1" applyFill="1" applyBorder="1"/>
    <xf numFmtId="0" fontId="0" fillId="5" borderId="0" xfId="0" applyFill="1" applyBorder="1" applyAlignment="1">
      <alignment horizontal="left"/>
    </xf>
    <xf numFmtId="0" fontId="24" fillId="4" borderId="0" xfId="0" applyFont="1" applyFill="1" applyBorder="1" applyAlignment="1">
      <alignment horizontal="left" vertical="center"/>
    </xf>
    <xf numFmtId="2" fontId="29" fillId="0" borderId="0" xfId="3" applyNumberFormat="1" applyFont="1" applyFill="1" applyBorder="1" applyAlignment="1">
      <alignment horizontal="left" wrapText="1"/>
    </xf>
    <xf numFmtId="0" fontId="24" fillId="4" borderId="0" xfId="0" applyFont="1" applyFill="1" applyBorder="1" applyAlignment="1">
      <alignment vertical="center"/>
    </xf>
    <xf numFmtId="0" fontId="23" fillId="4" borderId="0" xfId="0" applyFont="1" applyFill="1" applyBorder="1" applyAlignment="1">
      <alignment vertical="center"/>
    </xf>
    <xf numFmtId="0" fontId="22" fillId="4" borderId="0" xfId="0" applyFont="1" applyFill="1" applyBorder="1" applyAlignment="1">
      <alignment vertical="center"/>
    </xf>
    <xf numFmtId="0" fontId="0" fillId="4" borderId="0" xfId="0" applyFill="1" applyBorder="1" applyAlignment="1"/>
    <xf numFmtId="0" fontId="30" fillId="4" borderId="0" xfId="0" applyFont="1" applyFill="1" applyBorder="1" applyAlignment="1">
      <alignment vertical="center"/>
    </xf>
    <xf numFmtId="0" fontId="22" fillId="4" borderId="0" xfId="0" applyFont="1" applyFill="1" applyBorder="1"/>
    <xf numFmtId="0" fontId="22" fillId="4" borderId="0" xfId="0" applyFont="1" applyFill="1" applyBorder="1" applyAlignment="1"/>
    <xf numFmtId="0" fontId="22" fillId="4" borderId="0" xfId="0" applyFont="1" applyFill="1" applyBorder="1" applyAlignment="1" applyProtection="1">
      <alignment vertical="center"/>
      <protection locked="0"/>
    </xf>
    <xf numFmtId="0" fontId="22" fillId="6" borderId="0" xfId="0" applyFont="1" applyFill="1" applyBorder="1"/>
    <xf numFmtId="0" fontId="22" fillId="6" borderId="0" xfId="0" applyFont="1" applyFill="1" applyBorder="1" applyAlignment="1"/>
    <xf numFmtId="0" fontId="24" fillId="6" borderId="0" xfId="0" applyFont="1" applyFill="1" applyBorder="1" applyAlignment="1">
      <alignment wrapText="1"/>
    </xf>
    <xf numFmtId="0" fontId="22" fillId="4" borderId="0" xfId="0" applyFont="1" applyFill="1" applyBorder="1" applyAlignment="1"/>
    <xf numFmtId="0" fontId="0" fillId="4" borderId="0" xfId="0" applyFill="1" applyBorder="1" applyAlignment="1"/>
    <xf numFmtId="0" fontId="22" fillId="4" borderId="0" xfId="0" applyFont="1" applyFill="1" applyBorder="1" applyAlignment="1">
      <alignment vertical="center"/>
    </xf>
    <xf numFmtId="0" fontId="0" fillId="4" borderId="0" xfId="0" applyFill="1" applyAlignment="1"/>
    <xf numFmtId="0" fontId="31" fillId="8" borderId="1" xfId="0" applyFont="1" applyFill="1" applyBorder="1" applyAlignment="1">
      <alignment horizontal="right"/>
    </xf>
    <xf numFmtId="0" fontId="22" fillId="0" borderId="5" xfId="0" applyFont="1" applyFill="1" applyBorder="1" applyAlignment="1" applyProtection="1">
      <alignment vertical="center"/>
      <protection locked="0"/>
    </xf>
    <xf numFmtId="0" fontId="0" fillId="0" borderId="5" xfId="0" applyFill="1" applyBorder="1" applyAlignment="1" applyProtection="1">
      <alignment horizontal="right" vertical="center" wrapText="1"/>
      <protection locked="0"/>
    </xf>
    <xf numFmtId="0" fontId="40" fillId="4" borderId="0" xfId="0" applyFont="1" applyFill="1" applyBorder="1" applyAlignment="1">
      <alignment vertical="center"/>
    </xf>
    <xf numFmtId="0" fontId="0" fillId="5" borderId="15" xfId="0" applyFill="1" applyBorder="1"/>
    <xf numFmtId="0" fontId="22" fillId="0" borderId="0" xfId="0" applyFont="1" applyFill="1" applyBorder="1" applyAlignment="1">
      <alignment vertical="center"/>
    </xf>
    <xf numFmtId="0" fontId="24" fillId="0" borderId="0" xfId="0" applyFont="1" applyFill="1" applyBorder="1" applyAlignment="1">
      <alignment wrapText="1"/>
    </xf>
    <xf numFmtId="0" fontId="13" fillId="0" borderId="0" xfId="0" applyFont="1" applyAlignment="1"/>
    <xf numFmtId="0" fontId="22" fillId="7" borderId="0" xfId="0" applyFont="1" applyFill="1" applyBorder="1"/>
    <xf numFmtId="0" fontId="15" fillId="0" borderId="0" xfId="0" applyFont="1" applyFill="1" applyBorder="1"/>
    <xf numFmtId="0" fontId="37" fillId="0" borderId="0" xfId="0" applyFont="1" applyFill="1" applyBorder="1"/>
    <xf numFmtId="0" fontId="24" fillId="0" borderId="0" xfId="0" applyFont="1" applyFill="1" applyBorder="1"/>
    <xf numFmtId="0" fontId="19" fillId="0" borderId="0" xfId="0" applyFont="1" applyFill="1" applyBorder="1"/>
    <xf numFmtId="0" fontId="17" fillId="0" borderId="0" xfId="0" applyFont="1" applyFill="1" applyBorder="1"/>
    <xf numFmtId="16" fontId="15" fillId="0" borderId="0" xfId="0" applyNumberFormat="1" applyFont="1" applyFill="1" applyBorder="1" applyAlignment="1">
      <alignment horizontal="center"/>
    </xf>
    <xf numFmtId="0" fontId="25" fillId="0" borderId="0" xfId="0" applyFont="1" applyFill="1" applyBorder="1" applyAlignment="1">
      <alignment wrapText="1"/>
    </xf>
    <xf numFmtId="0" fontId="23" fillId="0" borderId="0" xfId="0" applyFont="1" applyFill="1" applyBorder="1"/>
    <xf numFmtId="2" fontId="0" fillId="0" borderId="0" xfId="0" applyNumberFormat="1" applyFill="1" applyBorder="1"/>
    <xf numFmtId="2" fontId="22" fillId="0" borderId="0" xfId="0" applyNumberFormat="1" applyFont="1" applyFill="1" applyBorder="1"/>
    <xf numFmtId="1" fontId="13" fillId="0" borderId="0" xfId="0" applyNumberFormat="1" applyFont="1" applyFill="1" applyBorder="1"/>
    <xf numFmtId="2" fontId="0" fillId="0" borderId="0" xfId="0" quotePrefix="1" applyNumberFormat="1" applyFill="1" applyBorder="1"/>
    <xf numFmtId="1" fontId="0" fillId="0" borderId="0" xfId="0" applyNumberFormat="1" applyFill="1" applyBorder="1"/>
    <xf numFmtId="0" fontId="0" fillId="0" borderId="0" xfId="0" applyFill="1" applyAlignment="1"/>
    <xf numFmtId="0" fontId="58" fillId="4" borderId="0" xfId="0" applyFont="1" applyFill="1" applyBorder="1" applyAlignment="1">
      <alignment horizontal="right" vertical="center"/>
    </xf>
    <xf numFmtId="0" fontId="59" fillId="4" borderId="0" xfId="0" applyFont="1" applyFill="1" applyBorder="1" applyAlignment="1">
      <alignment horizontal="right" vertical="center"/>
    </xf>
    <xf numFmtId="0" fontId="57" fillId="4" borderId="0" xfId="0" applyFont="1" applyFill="1" applyBorder="1" applyAlignment="1">
      <alignment horizontal="right" vertical="center"/>
    </xf>
    <xf numFmtId="0" fontId="57" fillId="4" borderId="0" xfId="0" applyFont="1" applyFill="1" applyBorder="1" applyAlignment="1">
      <alignment horizontal="left" vertical="center"/>
    </xf>
    <xf numFmtId="0" fontId="58" fillId="4" borderId="23" xfId="0" applyFont="1" applyFill="1" applyBorder="1" applyAlignment="1">
      <alignment vertical="center"/>
    </xf>
    <xf numFmtId="0" fontId="58" fillId="4" borderId="24" xfId="0" applyFont="1" applyFill="1" applyBorder="1" applyAlignment="1">
      <alignment vertical="center"/>
    </xf>
    <xf numFmtId="0" fontId="24" fillId="4" borderId="0" xfId="0" applyFont="1" applyFill="1" applyBorder="1" applyAlignment="1">
      <alignment horizontal="left" vertical="center"/>
    </xf>
    <xf numFmtId="0" fontId="22" fillId="16" borderId="0" xfId="0" applyFont="1" applyFill="1" applyBorder="1"/>
    <xf numFmtId="0" fontId="0" fillId="11" borderId="0" xfId="0" applyFill="1" applyBorder="1"/>
    <xf numFmtId="0" fontId="13" fillId="0" borderId="0" xfId="0" applyFont="1" applyFill="1" applyBorder="1" applyAlignment="1">
      <alignment wrapText="1"/>
    </xf>
    <xf numFmtId="0" fontId="0" fillId="0" borderId="0" xfId="0" applyFill="1" applyBorder="1" applyAlignment="1">
      <alignment wrapText="1"/>
    </xf>
    <xf numFmtId="0" fontId="22" fillId="4" borderId="0" xfId="0" applyFont="1" applyFill="1" applyBorder="1" applyAlignment="1" applyProtection="1"/>
    <xf numFmtId="0" fontId="24" fillId="4" borderId="0" xfId="0" applyFont="1" applyFill="1" applyBorder="1" applyAlignment="1">
      <alignment horizontal="left" vertical="center"/>
    </xf>
    <xf numFmtId="0" fontId="0" fillId="4" borderId="0" xfId="0" applyFill="1" applyAlignment="1">
      <alignment vertical="center"/>
    </xf>
    <xf numFmtId="0" fontId="0" fillId="5" borderId="17" xfId="0" applyFill="1" applyBorder="1" applyAlignment="1" applyProtection="1">
      <alignment horizontal="left" vertical="center"/>
    </xf>
    <xf numFmtId="0" fontId="25" fillId="0" borderId="0" xfId="4" applyFont="1" applyProtection="1"/>
    <xf numFmtId="0" fontId="25" fillId="0" borderId="0" xfId="4" applyFont="1"/>
    <xf numFmtId="0" fontId="25" fillId="4" borderId="0" xfId="4" applyFont="1" applyFill="1" applyProtection="1"/>
    <xf numFmtId="0" fontId="25" fillId="4" borderId="0" xfId="4" applyFont="1" applyFill="1"/>
    <xf numFmtId="0" fontId="66" fillId="5" borderId="0" xfId="4" applyFont="1" applyFill="1" applyProtection="1"/>
    <xf numFmtId="0" fontId="66" fillId="5" borderId="0" xfId="4" applyFont="1" applyFill="1"/>
    <xf numFmtId="0" fontId="0" fillId="0" borderId="0" xfId="0" applyFill="1" applyAlignment="1">
      <alignment wrapText="1"/>
    </xf>
    <xf numFmtId="0" fontId="22" fillId="0" borderId="0" xfId="0" applyFont="1" applyFill="1" applyBorder="1" applyAlignment="1">
      <alignment vertical="center" wrapText="1"/>
    </xf>
    <xf numFmtId="0" fontId="61" fillId="0" borderId="0" xfId="0" applyFont="1" applyFill="1" applyBorder="1" applyAlignment="1">
      <alignment wrapText="1"/>
    </xf>
    <xf numFmtId="0" fontId="22" fillId="0" borderId="0" xfId="0" applyFont="1" applyFill="1" applyBorder="1" applyAlignment="1">
      <alignment wrapText="1"/>
    </xf>
    <xf numFmtId="44" fontId="0" fillId="0" borderId="0" xfId="1" applyFont="1" applyFill="1" applyBorder="1"/>
    <xf numFmtId="44" fontId="16" fillId="0" borderId="0" xfId="1" applyFont="1" applyFill="1" applyBorder="1"/>
    <xf numFmtId="0" fontId="21" fillId="0" borderId="0" xfId="0" applyFont="1" applyFill="1" applyBorder="1"/>
    <xf numFmtId="0" fontId="0" fillId="20" borderId="0" xfId="0" applyFill="1"/>
    <xf numFmtId="0" fontId="13" fillId="20" borderId="0" xfId="0" applyFont="1" applyFill="1" applyBorder="1"/>
    <xf numFmtId="0" fontId="24" fillId="20" borderId="0" xfId="0" applyFont="1" applyFill="1" applyBorder="1"/>
    <xf numFmtId="0" fontId="0" fillId="20" borderId="0" xfId="0" applyFill="1" applyBorder="1"/>
    <xf numFmtId="0" fontId="22" fillId="20" borderId="0" xfId="0" applyFont="1" applyFill="1" applyBorder="1"/>
    <xf numFmtId="0" fontId="0" fillId="20" borderId="0" xfId="0" applyFill="1" applyAlignment="1"/>
    <xf numFmtId="0" fontId="22" fillId="20" borderId="0" xfId="0" applyFont="1" applyFill="1" applyBorder="1" applyAlignment="1">
      <alignment vertical="center"/>
    </xf>
    <xf numFmtId="0" fontId="22" fillId="2" borderId="0" xfId="0" applyFont="1" applyFill="1" applyBorder="1"/>
    <xf numFmtId="0" fontId="28" fillId="22" borderId="0" xfId="9" applyFont="1" applyFill="1" applyAlignment="1"/>
    <xf numFmtId="0" fontId="28" fillId="22" borderId="0" xfId="10" applyFont="1" applyFill="1" applyBorder="1" applyAlignment="1"/>
    <xf numFmtId="0" fontId="13" fillId="22" borderId="0" xfId="10" applyFont="1" applyFill="1" applyBorder="1" applyAlignment="1"/>
    <xf numFmtId="0" fontId="28" fillId="22" borderId="0" xfId="9" applyFont="1" applyFill="1"/>
    <xf numFmtId="0" fontId="13" fillId="22" borderId="0" xfId="4" applyFont="1" applyFill="1" applyBorder="1" applyAlignment="1">
      <alignment wrapText="1"/>
    </xf>
    <xf numFmtId="0" fontId="11" fillId="22" borderId="0" xfId="9" applyFill="1"/>
    <xf numFmtId="0" fontId="28" fillId="22" borderId="0" xfId="9" applyFont="1" applyFill="1" applyAlignment="1">
      <alignment wrapText="1"/>
    </xf>
    <xf numFmtId="0" fontId="22" fillId="22" borderId="0" xfId="0" applyFont="1" applyFill="1" applyBorder="1"/>
    <xf numFmtId="2" fontId="22" fillId="2" borderId="0" xfId="0" applyNumberFormat="1" applyFont="1" applyFill="1" applyBorder="1"/>
    <xf numFmtId="0" fontId="24" fillId="4" borderId="0" xfId="0" applyFont="1" applyFill="1" applyBorder="1"/>
    <xf numFmtId="0" fontId="13" fillId="4" borderId="0" xfId="0" applyFont="1" applyFill="1" applyBorder="1"/>
    <xf numFmtId="0" fontId="0" fillId="4" borderId="0" xfId="0" applyFill="1" applyBorder="1"/>
    <xf numFmtId="0" fontId="13" fillId="0" borderId="0" xfId="0" applyFont="1"/>
    <xf numFmtId="0" fontId="25" fillId="0" borderId="0" xfId="4" applyFont="1" applyFill="1" applyProtection="1"/>
    <xf numFmtId="0" fontId="38" fillId="4" borderId="0" xfId="0" applyFont="1" applyFill="1" applyBorder="1" applyAlignment="1">
      <alignment horizontal="center"/>
    </xf>
    <xf numFmtId="0" fontId="27" fillId="4" borderId="0" xfId="0" applyFont="1" applyFill="1" applyBorder="1" applyAlignment="1">
      <alignment horizontal="left" vertical="center"/>
    </xf>
    <xf numFmtId="0" fontId="46" fillId="10" borderId="0" xfId="0" applyFont="1" applyFill="1" applyBorder="1" applyAlignment="1">
      <alignment vertical="center" wrapText="1"/>
    </xf>
    <xf numFmtId="0" fontId="0" fillId="5" borderId="29" xfId="0" applyFill="1" applyBorder="1"/>
    <xf numFmtId="0" fontId="41" fillId="15" borderId="0" xfId="0" applyFont="1" applyFill="1" applyBorder="1" applyAlignment="1">
      <alignment horizontal="left" vertical="center"/>
    </xf>
    <xf numFmtId="0" fontId="49" fillId="0" borderId="35" xfId="0" applyFont="1" applyFill="1" applyBorder="1"/>
    <xf numFmtId="0" fontId="49" fillId="0" borderId="36" xfId="0" applyFont="1" applyFill="1" applyBorder="1"/>
    <xf numFmtId="0" fontId="49" fillId="0" borderId="37" xfId="0" applyFont="1" applyFill="1" applyBorder="1"/>
    <xf numFmtId="0" fontId="49" fillId="0" borderId="38" xfId="0" applyFont="1" applyFill="1" applyBorder="1" applyProtection="1"/>
    <xf numFmtId="0" fontId="49" fillId="0" borderId="39" xfId="0" applyFont="1" applyFill="1" applyBorder="1" applyProtection="1"/>
    <xf numFmtId="0" fontId="49" fillId="0" borderId="28" xfId="0" applyFont="1" applyFill="1" applyBorder="1" applyAlignment="1" applyProtection="1">
      <alignment horizontal="left"/>
    </xf>
    <xf numFmtId="0" fontId="49" fillId="0" borderId="37" xfId="0" applyFont="1" applyFill="1" applyBorder="1" applyAlignment="1" applyProtection="1">
      <alignment horizontal="left"/>
    </xf>
    <xf numFmtId="0" fontId="49" fillId="0" borderId="40" xfId="0" applyFont="1" applyFill="1" applyBorder="1" applyAlignment="1" applyProtection="1">
      <alignment horizontal="left"/>
    </xf>
    <xf numFmtId="0" fontId="50" fillId="15" borderId="28" xfId="0" applyFont="1" applyFill="1" applyBorder="1" applyAlignment="1">
      <alignment vertical="center"/>
    </xf>
    <xf numFmtId="0" fontId="20" fillId="17" borderId="28" xfId="0" applyFont="1" applyFill="1" applyBorder="1" applyAlignment="1" applyProtection="1"/>
    <xf numFmtId="0" fontId="20" fillId="17" borderId="28" xfId="0" applyFont="1" applyFill="1" applyBorder="1" applyAlignment="1" applyProtection="1">
      <alignment horizontal="right" indent="2"/>
    </xf>
    <xf numFmtId="0" fontId="20" fillId="17" borderId="28" xfId="0" applyFont="1" applyFill="1" applyBorder="1" applyAlignment="1" applyProtection="1">
      <alignment wrapText="1"/>
    </xf>
    <xf numFmtId="0" fontId="62" fillId="17" borderId="28" xfId="8" applyFont="1" applyFill="1" applyBorder="1" applyAlignment="1" applyProtection="1"/>
    <xf numFmtId="0" fontId="0" fillId="0" borderId="0" xfId="0" applyBorder="1" applyAlignment="1">
      <alignment horizontal="left" vertical="center"/>
    </xf>
    <xf numFmtId="0" fontId="29" fillId="0" borderId="0" xfId="0" applyFont="1" applyBorder="1" applyAlignment="1">
      <alignment horizontal="left" vertical="center" wrapText="1"/>
    </xf>
    <xf numFmtId="0" fontId="0" fillId="0" borderId="0" xfId="0" applyBorder="1" applyAlignment="1">
      <alignment horizontal="left"/>
    </xf>
    <xf numFmtId="0" fontId="0" fillId="0" borderId="0" xfId="0" applyFill="1" applyBorder="1" applyAlignment="1">
      <alignment horizontal="left"/>
    </xf>
    <xf numFmtId="0" fontId="24" fillId="0" borderId="5" xfId="0" applyFont="1" applyFill="1" applyBorder="1" applyAlignment="1" applyProtection="1">
      <alignment horizontal="right" vertical="center" wrapText="1"/>
      <protection locked="0"/>
    </xf>
    <xf numFmtId="0" fontId="24" fillId="4" borderId="0" xfId="0" applyFont="1" applyFill="1" applyBorder="1" applyAlignment="1">
      <alignment horizontal="left" vertical="center"/>
    </xf>
    <xf numFmtId="0" fontId="58" fillId="4" borderId="0" xfId="0" applyFont="1" applyFill="1" applyBorder="1" applyAlignment="1">
      <alignment vertical="center"/>
    </xf>
    <xf numFmtId="0" fontId="71" fillId="0" borderId="0" xfId="8" applyFont="1" applyFill="1" applyBorder="1" applyAlignment="1" applyProtection="1">
      <alignment vertical="center"/>
      <protection locked="0"/>
    </xf>
    <xf numFmtId="0" fontId="74" fillId="0" borderId="0" xfId="0" applyFont="1" applyFill="1" applyBorder="1"/>
    <xf numFmtId="0" fontId="13" fillId="0" borderId="0" xfId="4" applyFont="1" applyFill="1" applyBorder="1" applyAlignment="1">
      <alignment wrapText="1"/>
    </xf>
    <xf numFmtId="0" fontId="28" fillId="0" borderId="0" xfId="9" applyFont="1" applyFill="1" applyAlignment="1">
      <alignment wrapText="1"/>
    </xf>
    <xf numFmtId="0" fontId="13" fillId="0" borderId="0" xfId="0" quotePrefix="1" applyFont="1"/>
    <xf numFmtId="0" fontId="0" fillId="0" borderId="0" xfId="0" applyBorder="1" applyAlignment="1">
      <alignment horizontal="left"/>
    </xf>
    <xf numFmtId="0" fontId="28" fillId="0" borderId="0" xfId="13" applyFont="1" applyAlignment="1">
      <alignment horizontal="left" vertical="center"/>
    </xf>
    <xf numFmtId="0" fontId="28" fillId="0" borderId="0" xfId="13" applyFont="1" applyAlignment="1">
      <alignment horizontal="left" vertical="center" wrapText="1"/>
    </xf>
    <xf numFmtId="0" fontId="28" fillId="0" borderId="0" xfId="13" applyFont="1" applyFill="1" applyAlignment="1">
      <alignment horizontal="left" vertical="center"/>
    </xf>
    <xf numFmtId="0" fontId="80" fillId="0" borderId="0" xfId="13" applyFont="1" applyAlignment="1">
      <alignment horizontal="left" vertical="center" wrapText="1"/>
    </xf>
    <xf numFmtId="0" fontId="28" fillId="0" borderId="0" xfId="13" applyFont="1" applyFill="1" applyAlignment="1">
      <alignment horizontal="left" vertical="center" wrapText="1"/>
    </xf>
    <xf numFmtId="0" fontId="58" fillId="24" borderId="0" xfId="13" applyFont="1" applyFill="1" applyAlignment="1">
      <alignment horizontal="left" vertical="center" wrapText="1"/>
    </xf>
    <xf numFmtId="0" fontId="58" fillId="4" borderId="0" xfId="13" applyFont="1" applyFill="1" applyAlignment="1">
      <alignment horizontal="left" vertical="center" wrapText="1"/>
    </xf>
    <xf numFmtId="0" fontId="58" fillId="14" borderId="0" xfId="13" applyFont="1" applyFill="1" applyAlignment="1">
      <alignment horizontal="left" vertical="center"/>
    </xf>
    <xf numFmtId="0" fontId="58" fillId="14" borderId="0" xfId="13" applyFont="1" applyFill="1" applyAlignment="1">
      <alignment horizontal="left" vertical="center" wrapText="1"/>
    </xf>
    <xf numFmtId="0" fontId="58" fillId="24" borderId="0" xfId="13" applyFont="1" applyFill="1" applyAlignment="1">
      <alignment horizontal="left" vertical="center"/>
    </xf>
    <xf numFmtId="0" fontId="58" fillId="4" borderId="0" xfId="13" applyFont="1" applyFill="1" applyAlignment="1">
      <alignment horizontal="left" vertical="center"/>
    </xf>
    <xf numFmtId="0" fontId="28" fillId="2" borderId="0" xfId="13" applyFont="1" applyFill="1" applyAlignment="1">
      <alignment horizontal="left" vertical="center"/>
    </xf>
    <xf numFmtId="0" fontId="28" fillId="2" borderId="0" xfId="13" applyFont="1" applyFill="1" applyAlignment="1">
      <alignment horizontal="left" vertical="center" wrapText="1"/>
    </xf>
    <xf numFmtId="0" fontId="45" fillId="0" borderId="0" xfId="13" applyFont="1" applyAlignment="1">
      <alignment horizontal="left" vertical="center" wrapText="1"/>
    </xf>
    <xf numFmtId="0" fontId="58" fillId="0" borderId="0" xfId="13" applyFont="1" applyAlignment="1">
      <alignment horizontal="left" vertical="center"/>
    </xf>
    <xf numFmtId="0" fontId="58" fillId="0" borderId="0" xfId="13" applyFont="1" applyAlignment="1">
      <alignment horizontal="left" vertical="center" wrapText="1"/>
    </xf>
    <xf numFmtId="0" fontId="28" fillId="0" borderId="0" xfId="13" applyFont="1" applyAlignment="1" applyProtection="1">
      <alignment horizontal="left" vertical="center"/>
    </xf>
    <xf numFmtId="0" fontId="28" fillId="9" borderId="0" xfId="13" applyFont="1" applyFill="1" applyAlignment="1" applyProtection="1">
      <alignment horizontal="left" vertical="center"/>
    </xf>
    <xf numFmtId="0" fontId="45" fillId="9" borderId="0" xfId="13" applyFont="1" applyFill="1" applyAlignment="1" applyProtection="1">
      <alignment horizontal="left" vertical="center" wrapText="1"/>
    </xf>
    <xf numFmtId="0" fontId="28" fillId="22" borderId="0" xfId="13" applyFont="1" applyFill="1" applyAlignment="1" applyProtection="1">
      <alignment horizontal="left" vertical="center"/>
    </xf>
    <xf numFmtId="0" fontId="45" fillId="22" borderId="0" xfId="13" applyFont="1" applyFill="1" applyAlignment="1" applyProtection="1">
      <alignment horizontal="left" vertical="center" wrapText="1"/>
    </xf>
    <xf numFmtId="0" fontId="45" fillId="22" borderId="0" xfId="13" applyFont="1" applyFill="1" applyBorder="1" applyAlignment="1" applyProtection="1">
      <alignment horizontal="left" vertical="center" wrapText="1"/>
    </xf>
    <xf numFmtId="0" fontId="81" fillId="25" borderId="5" xfId="13" applyFont="1" applyFill="1" applyBorder="1" applyAlignment="1" applyProtection="1">
      <alignment horizontal="center" vertical="center" wrapText="1"/>
      <protection locked="0"/>
    </xf>
    <xf numFmtId="0" fontId="58" fillId="0" borderId="45" xfId="13" applyFont="1" applyBorder="1" applyAlignment="1" applyProtection="1">
      <alignment horizontal="left" vertical="center" wrapText="1"/>
    </xf>
    <xf numFmtId="0" fontId="58" fillId="0" borderId="46" xfId="13" applyFont="1" applyBorder="1" applyAlignment="1" applyProtection="1">
      <alignment horizontal="left" vertical="center" wrapText="1"/>
    </xf>
    <xf numFmtId="0" fontId="58" fillId="0" borderId="47" xfId="13" applyFont="1" applyBorder="1" applyAlignment="1" applyProtection="1">
      <alignment horizontal="left" vertical="center" wrapText="1"/>
    </xf>
    <xf numFmtId="0" fontId="58" fillId="0" borderId="48" xfId="13" applyFont="1" applyBorder="1" applyAlignment="1" applyProtection="1">
      <alignment horizontal="left" vertical="center" wrapText="1"/>
    </xf>
    <xf numFmtId="0" fontId="58" fillId="0" borderId="49" xfId="13" applyFont="1" applyBorder="1" applyAlignment="1" applyProtection="1">
      <alignment horizontal="left" vertical="center" wrapText="1"/>
    </xf>
    <xf numFmtId="0" fontId="45" fillId="22" borderId="50" xfId="13" applyFont="1" applyFill="1" applyBorder="1" applyAlignment="1" applyProtection="1">
      <alignment horizontal="left" vertical="center" wrapText="1"/>
    </xf>
    <xf numFmtId="0" fontId="82" fillId="25" borderId="51" xfId="13" applyFont="1" applyFill="1" applyBorder="1" applyAlignment="1" applyProtection="1">
      <alignment horizontal="center" vertical="center" wrapText="1"/>
      <protection locked="0"/>
    </xf>
    <xf numFmtId="0" fontId="58" fillId="22" borderId="48" xfId="13" applyFont="1" applyFill="1" applyBorder="1" applyAlignment="1" applyProtection="1">
      <alignment horizontal="left" vertical="center" wrapText="1"/>
    </xf>
    <xf numFmtId="0" fontId="58" fillId="0" borderId="52" xfId="13" applyFont="1" applyBorder="1" applyAlignment="1" applyProtection="1">
      <alignment horizontal="left" vertical="center" wrapText="1"/>
    </xf>
    <xf numFmtId="0" fontId="58" fillId="0" borderId="53" xfId="13" applyFont="1" applyBorder="1" applyAlignment="1" applyProtection="1">
      <alignment horizontal="left" vertical="center" wrapText="1"/>
    </xf>
    <xf numFmtId="0" fontId="58" fillId="22" borderId="53" xfId="13" applyFont="1" applyFill="1" applyBorder="1" applyAlignment="1" applyProtection="1">
      <alignment horizontal="left" vertical="center" wrapText="1"/>
    </xf>
    <xf numFmtId="0" fontId="58" fillId="22" borderId="47" xfId="13" applyFont="1" applyFill="1" applyBorder="1" applyAlignment="1" applyProtection="1">
      <alignment horizontal="left" vertical="center" wrapText="1"/>
    </xf>
    <xf numFmtId="0" fontId="13" fillId="0" borderId="0" xfId="13" applyFont="1" applyAlignment="1">
      <alignment horizontal="left" vertical="center"/>
    </xf>
    <xf numFmtId="0" fontId="58" fillId="0" borderId="54" xfId="13" applyFont="1" applyFill="1" applyBorder="1" applyAlignment="1" applyProtection="1">
      <alignment horizontal="left" vertical="center" wrapText="1"/>
    </xf>
    <xf numFmtId="0" fontId="58" fillId="0" borderId="49" xfId="13" applyFont="1" applyBorder="1" applyAlignment="1" applyProtection="1">
      <alignment horizontal="center" vertical="center" wrapText="1"/>
    </xf>
    <xf numFmtId="0" fontId="58" fillId="0" borderId="49" xfId="13" applyFont="1" applyFill="1" applyBorder="1" applyAlignment="1" applyProtection="1">
      <alignment horizontal="left" vertical="center" wrapText="1"/>
    </xf>
    <xf numFmtId="0" fontId="58" fillId="22" borderId="49" xfId="13" applyFont="1" applyFill="1" applyBorder="1" applyAlignment="1" applyProtection="1">
      <alignment horizontal="center" vertical="center" wrapText="1"/>
    </xf>
    <xf numFmtId="0" fontId="45" fillId="22" borderId="24" xfId="13" applyFont="1" applyFill="1" applyBorder="1" applyAlignment="1" applyProtection="1">
      <alignment horizontal="left" vertical="center" wrapText="1"/>
    </xf>
    <xf numFmtId="0" fontId="45" fillId="22" borderId="55" xfId="13" applyFont="1" applyFill="1" applyBorder="1" applyAlignment="1" applyProtection="1">
      <alignment horizontal="left" vertical="center" wrapText="1"/>
    </xf>
    <xf numFmtId="0" fontId="82" fillId="25" borderId="5" xfId="13" applyFont="1" applyFill="1" applyBorder="1" applyAlignment="1" applyProtection="1">
      <alignment horizontal="center" vertical="center" wrapText="1"/>
      <protection locked="0"/>
    </xf>
    <xf numFmtId="0" fontId="45" fillId="22" borderId="56" xfId="13" applyFont="1" applyFill="1" applyBorder="1" applyAlignment="1" applyProtection="1">
      <alignment horizontal="left" vertical="center" wrapText="1"/>
    </xf>
    <xf numFmtId="0" fontId="45" fillId="22" borderId="44" xfId="13" applyFont="1" applyFill="1" applyBorder="1" applyAlignment="1" applyProtection="1">
      <alignment horizontal="left" vertical="center" wrapText="1"/>
    </xf>
    <xf numFmtId="0" fontId="45" fillId="22" borderId="57" xfId="13" applyFont="1" applyFill="1" applyBorder="1" applyAlignment="1" applyProtection="1">
      <alignment horizontal="left" vertical="center" wrapText="1"/>
    </xf>
    <xf numFmtId="0" fontId="58" fillId="22" borderId="57" xfId="13" applyFont="1" applyFill="1" applyBorder="1" applyAlignment="1" applyProtection="1">
      <alignment horizontal="left" vertical="center" wrapText="1"/>
    </xf>
    <xf numFmtId="0" fontId="45" fillId="22" borderId="58" xfId="13" applyFont="1" applyFill="1" applyBorder="1" applyAlignment="1" applyProtection="1">
      <alignment horizontal="left" vertical="center"/>
    </xf>
    <xf numFmtId="0" fontId="83" fillId="22" borderId="27" xfId="13" applyFont="1" applyFill="1" applyBorder="1" applyAlignment="1" applyProtection="1">
      <alignment horizontal="center" vertical="center" wrapText="1"/>
    </xf>
    <xf numFmtId="0" fontId="28" fillId="15" borderId="0" xfId="13" applyFont="1" applyFill="1" applyAlignment="1" applyProtection="1">
      <alignment horizontal="left" vertical="center"/>
    </xf>
    <xf numFmtId="0" fontId="10" fillId="0" borderId="0" xfId="13"/>
    <xf numFmtId="0" fontId="10" fillId="0" borderId="0" xfId="13" applyFill="1"/>
    <xf numFmtId="0" fontId="10" fillId="4" borderId="0" xfId="13" applyFill="1"/>
    <xf numFmtId="49" fontId="10" fillId="0" borderId="0" xfId="13" applyNumberFormat="1"/>
    <xf numFmtId="49" fontId="10" fillId="0" borderId="59" xfId="13" applyNumberFormat="1" applyBorder="1"/>
    <xf numFmtId="49" fontId="10" fillId="0" borderId="0" xfId="13" applyNumberFormat="1" applyFill="1"/>
    <xf numFmtId="49" fontId="10" fillId="0" borderId="59" xfId="13" applyNumberFormat="1" applyFill="1" applyBorder="1"/>
    <xf numFmtId="49" fontId="10" fillId="0" borderId="60" xfId="13" applyNumberFormat="1" applyFill="1" applyBorder="1"/>
    <xf numFmtId="49" fontId="87" fillId="0" borderId="0" xfId="13" applyNumberFormat="1" applyFont="1" applyFill="1"/>
    <xf numFmtId="49" fontId="87" fillId="4" borderId="0" xfId="13" applyNumberFormat="1" applyFont="1" applyFill="1"/>
    <xf numFmtId="49" fontId="36" fillId="15" borderId="0" xfId="13" applyNumberFormat="1" applyFont="1" applyFill="1"/>
    <xf numFmtId="49" fontId="36" fillId="15" borderId="58" xfId="13" applyNumberFormat="1" applyFont="1" applyFill="1" applyBorder="1"/>
    <xf numFmtId="49" fontId="10" fillId="4" borderId="0" xfId="13" applyNumberFormat="1" applyFill="1"/>
    <xf numFmtId="164" fontId="10" fillId="0" borderId="0" xfId="13" applyNumberFormat="1"/>
    <xf numFmtId="0" fontId="27" fillId="4" borderId="0" xfId="13" applyFont="1" applyFill="1"/>
    <xf numFmtId="0" fontId="33" fillId="0" borderId="0" xfId="13" applyFont="1"/>
    <xf numFmtId="0" fontId="10" fillId="0" borderId="0" xfId="13" applyFont="1" applyFill="1"/>
    <xf numFmtId="164" fontId="10" fillId="4" borderId="0" xfId="13" applyNumberFormat="1" applyFill="1"/>
    <xf numFmtId="0" fontId="33" fillId="4" borderId="0" xfId="13" applyFont="1" applyFill="1"/>
    <xf numFmtId="164" fontId="79" fillId="4" borderId="0" xfId="13" applyNumberFormat="1" applyFont="1" applyFill="1"/>
    <xf numFmtId="0" fontId="79" fillId="4" borderId="0" xfId="13" applyFont="1" applyFill="1"/>
    <xf numFmtId="0" fontId="91" fillId="4" borderId="0" xfId="13" applyFont="1" applyFill="1"/>
    <xf numFmtId="0" fontId="86" fillId="4" borderId="0" xfId="13" applyFont="1" applyFill="1"/>
    <xf numFmtId="164" fontId="10" fillId="26" borderId="63" xfId="13" applyNumberFormat="1" applyFill="1" applyBorder="1"/>
    <xf numFmtId="0" fontId="92" fillId="9" borderId="0" xfId="13" applyFont="1" applyFill="1"/>
    <xf numFmtId="0" fontId="86" fillId="9" borderId="0" xfId="13" applyFont="1" applyFill="1"/>
    <xf numFmtId="0" fontId="79" fillId="0" borderId="0" xfId="13" applyFont="1" applyFill="1"/>
    <xf numFmtId="0" fontId="44" fillId="3" borderId="0" xfId="13" applyFont="1" applyFill="1" applyBorder="1"/>
    <xf numFmtId="0" fontId="10" fillId="0" borderId="64" xfId="13" applyBorder="1" applyProtection="1">
      <protection locked="0"/>
    </xf>
    <xf numFmtId="0" fontId="10" fillId="3" borderId="0" xfId="13" applyFill="1"/>
    <xf numFmtId="0" fontId="44" fillId="0" borderId="63" xfId="13" applyFont="1" applyBorder="1" applyProtection="1">
      <protection locked="0"/>
    </xf>
    <xf numFmtId="0" fontId="33" fillId="8" borderId="0" xfId="13" applyFont="1" applyFill="1" applyBorder="1"/>
    <xf numFmtId="0" fontId="33" fillId="3" borderId="0" xfId="13" applyFont="1" applyFill="1"/>
    <xf numFmtId="0" fontId="10" fillId="4" borderId="0" xfId="13" applyFill="1" applyAlignment="1"/>
    <xf numFmtId="0" fontId="33" fillId="4" borderId="0" xfId="13" applyFont="1" applyFill="1" applyAlignment="1"/>
    <xf numFmtId="0" fontId="44" fillId="3" borderId="0" xfId="13" applyFont="1" applyFill="1" applyBorder="1" applyAlignment="1"/>
    <xf numFmtId="0" fontId="10" fillId="0" borderId="64" xfId="13" applyFill="1" applyBorder="1" applyAlignment="1" applyProtection="1">
      <protection locked="0"/>
    </xf>
    <xf numFmtId="0" fontId="10" fillId="3" borderId="0" xfId="13" applyFill="1" applyAlignment="1"/>
    <xf numFmtId="0" fontId="33" fillId="3" borderId="0" xfId="13" applyFont="1" applyFill="1" applyAlignment="1"/>
    <xf numFmtId="0" fontId="33" fillId="8" borderId="0" xfId="13" applyFont="1" applyFill="1" applyBorder="1" applyAlignment="1"/>
    <xf numFmtId="0" fontId="27" fillId="3" borderId="0" xfId="13" applyFont="1" applyFill="1" applyBorder="1"/>
    <xf numFmtId="0" fontId="10" fillId="3" borderId="0" xfId="13" applyFill="1" applyBorder="1"/>
    <xf numFmtId="0" fontId="33" fillId="3" borderId="0" xfId="13" applyFont="1" applyFill="1" applyBorder="1"/>
    <xf numFmtId="0" fontId="44" fillId="5" borderId="0" xfId="13" applyFont="1" applyFill="1" applyProtection="1">
      <protection locked="0"/>
    </xf>
    <xf numFmtId="0" fontId="44" fillId="5" borderId="63" xfId="13" applyFont="1" applyFill="1" applyBorder="1" applyProtection="1">
      <protection locked="0"/>
    </xf>
    <xf numFmtId="0" fontId="44" fillId="3" borderId="0" xfId="13" applyFont="1" applyFill="1" applyBorder="1" applyProtection="1">
      <protection locked="0"/>
    </xf>
    <xf numFmtId="0" fontId="44" fillId="3" borderId="0" xfId="13" applyFont="1" applyFill="1" applyBorder="1" applyProtection="1"/>
    <xf numFmtId="0" fontId="33" fillId="3" borderId="0" xfId="13" applyFont="1" applyFill="1" applyProtection="1"/>
    <xf numFmtId="0" fontId="10" fillId="3" borderId="0" xfId="13" applyFill="1" applyProtection="1"/>
    <xf numFmtId="0" fontId="33" fillId="3" borderId="0" xfId="13" applyFont="1" applyFill="1" applyBorder="1" applyProtection="1"/>
    <xf numFmtId="0" fontId="10" fillId="4" borderId="0" xfId="13" applyFont="1" applyFill="1"/>
    <xf numFmtId="164" fontId="95" fillId="4" borderId="65" xfId="13" applyNumberFormat="1" applyFont="1" applyFill="1" applyBorder="1"/>
    <xf numFmtId="0" fontId="10" fillId="4" borderId="65" xfId="13" applyFont="1" applyFill="1" applyBorder="1"/>
    <xf numFmtId="0" fontId="27" fillId="4" borderId="65" xfId="13" applyFont="1" applyFill="1" applyBorder="1"/>
    <xf numFmtId="0" fontId="96" fillId="4" borderId="65" xfId="13" applyFont="1" applyFill="1" applyBorder="1" applyAlignment="1">
      <alignment horizontal="center" vertical="center"/>
    </xf>
    <xf numFmtId="0" fontId="97" fillId="4" borderId="65" xfId="13" applyFont="1" applyFill="1" applyBorder="1" applyAlignment="1">
      <alignment horizontal="center"/>
    </xf>
    <xf numFmtId="0" fontId="94" fillId="4" borderId="65" xfId="13" applyFont="1" applyFill="1" applyBorder="1"/>
    <xf numFmtId="164" fontId="94" fillId="4" borderId="0" xfId="13" applyNumberFormat="1" applyFont="1" applyFill="1"/>
    <xf numFmtId="0" fontId="94" fillId="4" borderId="0" xfId="13" applyFont="1" applyFill="1"/>
    <xf numFmtId="0" fontId="98" fillId="4" borderId="0" xfId="13" applyFont="1" applyFill="1"/>
    <xf numFmtId="0" fontId="78" fillId="0" borderId="0" xfId="13" applyFont="1" applyFill="1"/>
    <xf numFmtId="0" fontId="79" fillId="9" borderId="9" xfId="19" applyFont="1" applyFill="1" applyBorder="1" applyProtection="1">
      <protection locked="0"/>
    </xf>
    <xf numFmtId="0" fontId="79" fillId="5" borderId="0" xfId="19" applyFont="1" applyFill="1" applyProtection="1">
      <protection locked="0"/>
    </xf>
    <xf numFmtId="0" fontId="8" fillId="0" borderId="0" xfId="19" applyProtection="1">
      <protection locked="0"/>
    </xf>
    <xf numFmtId="0" fontId="103" fillId="4" borderId="66" xfId="19" applyFont="1" applyFill="1" applyBorder="1" applyAlignment="1" applyProtection="1">
      <alignment horizontal="right"/>
      <protection locked="0"/>
    </xf>
    <xf numFmtId="0" fontId="33" fillId="0" borderId="67" xfId="19" applyFont="1" applyBorder="1" applyProtection="1">
      <protection locked="0"/>
    </xf>
    <xf numFmtId="0" fontId="103" fillId="4" borderId="68" xfId="19" applyFont="1" applyFill="1" applyBorder="1" applyAlignment="1" applyProtection="1">
      <alignment horizontal="right"/>
      <protection locked="0"/>
    </xf>
    <xf numFmtId="0" fontId="33" fillId="0" borderId="69" xfId="19" applyFont="1" applyBorder="1" applyProtection="1">
      <protection locked="0"/>
    </xf>
    <xf numFmtId="0" fontId="33" fillId="14" borderId="0" xfId="19" applyFont="1" applyFill="1" applyProtection="1">
      <protection locked="0"/>
    </xf>
    <xf numFmtId="0" fontId="58" fillId="4" borderId="0" xfId="19" applyFont="1" applyFill="1" applyAlignment="1" applyProtection="1">
      <alignment horizontal="right"/>
      <protection locked="0"/>
    </xf>
    <xf numFmtId="0" fontId="33" fillId="0" borderId="70" xfId="19" applyFont="1" applyBorder="1" applyProtection="1">
      <protection locked="0"/>
    </xf>
    <xf numFmtId="0" fontId="33" fillId="14" borderId="71" xfId="19" applyFont="1" applyFill="1" applyBorder="1" applyProtection="1">
      <protection locked="0"/>
    </xf>
    <xf numFmtId="0" fontId="58" fillId="4" borderId="0" xfId="19" applyFont="1" applyFill="1" applyProtection="1">
      <protection locked="0"/>
    </xf>
    <xf numFmtId="0" fontId="33" fillId="4" borderId="70" xfId="19" applyFont="1" applyFill="1" applyBorder="1" applyProtection="1">
      <protection locked="0"/>
    </xf>
    <xf numFmtId="0" fontId="58" fillId="20" borderId="68" xfId="19" applyFont="1" applyFill="1" applyBorder="1" applyAlignment="1" applyProtection="1">
      <alignment horizontal="right"/>
      <protection locked="0"/>
    </xf>
    <xf numFmtId="0" fontId="33" fillId="0" borderId="70" xfId="19" applyFont="1" applyFill="1" applyBorder="1" applyAlignment="1" applyProtection="1">
      <alignment horizontal="left"/>
      <protection locked="0"/>
    </xf>
    <xf numFmtId="0" fontId="8" fillId="5" borderId="0" xfId="19" applyFont="1" applyFill="1" applyProtection="1">
      <protection locked="0"/>
    </xf>
    <xf numFmtId="0" fontId="58" fillId="3" borderId="0" xfId="19" applyFont="1" applyFill="1" applyAlignment="1" applyProtection="1">
      <alignment horizontal="right"/>
      <protection locked="0"/>
    </xf>
    <xf numFmtId="0" fontId="33" fillId="4" borderId="70" xfId="19" applyFont="1" applyFill="1" applyBorder="1" applyAlignment="1" applyProtection="1">
      <protection locked="0"/>
    </xf>
    <xf numFmtId="0" fontId="58" fillId="11" borderId="68" xfId="19" applyFont="1" applyFill="1" applyBorder="1" applyAlignment="1" applyProtection="1">
      <alignment horizontal="right"/>
      <protection locked="0"/>
    </xf>
    <xf numFmtId="0" fontId="33" fillId="0" borderId="70" xfId="19" applyFont="1" applyBorder="1" applyAlignment="1" applyProtection="1">
      <alignment horizontal="left"/>
      <protection locked="0"/>
    </xf>
    <xf numFmtId="0" fontId="33" fillId="3" borderId="0" xfId="19" applyFont="1" applyFill="1" applyProtection="1">
      <protection locked="0"/>
    </xf>
    <xf numFmtId="0" fontId="58" fillId="27" borderId="24" xfId="19" applyFont="1" applyFill="1" applyBorder="1" applyAlignment="1" applyProtection="1">
      <alignment horizontal="right"/>
      <protection locked="0"/>
    </xf>
    <xf numFmtId="0" fontId="33" fillId="0" borderId="72" xfId="19" applyFont="1" applyBorder="1" applyAlignment="1" applyProtection="1">
      <alignment horizontal="left"/>
      <protection locked="0"/>
    </xf>
    <xf numFmtId="0" fontId="58" fillId="27" borderId="73" xfId="19" applyFont="1" applyFill="1" applyBorder="1" applyAlignment="1" applyProtection="1">
      <alignment horizontal="right"/>
      <protection locked="0"/>
    </xf>
    <xf numFmtId="0" fontId="58" fillId="20" borderId="27" xfId="19" applyFont="1" applyFill="1" applyBorder="1" applyAlignment="1" applyProtection="1">
      <alignment horizontal="right"/>
      <protection locked="0"/>
    </xf>
    <xf numFmtId="0" fontId="58" fillId="20" borderId="66" xfId="19" applyFont="1" applyFill="1" applyBorder="1" applyAlignment="1" applyProtection="1">
      <alignment horizontal="right"/>
      <protection locked="0"/>
    </xf>
    <xf numFmtId="0" fontId="58" fillId="11" borderId="66" xfId="19" applyFont="1" applyFill="1" applyBorder="1" applyAlignment="1" applyProtection="1">
      <alignment horizontal="right"/>
      <protection locked="0"/>
    </xf>
    <xf numFmtId="0" fontId="58" fillId="11" borderId="0" xfId="19" applyFont="1" applyFill="1" applyAlignment="1" applyProtection="1">
      <alignment horizontal="right"/>
      <protection locked="0"/>
    </xf>
    <xf numFmtId="0" fontId="33" fillId="0" borderId="74" xfId="19" applyFont="1" applyFill="1" applyBorder="1" applyAlignment="1" applyProtection="1">
      <alignment horizontal="left"/>
      <protection locked="0"/>
    </xf>
    <xf numFmtId="0" fontId="33" fillId="28" borderId="27" xfId="19" applyFont="1" applyFill="1" applyBorder="1" applyProtection="1">
      <protection locked="0"/>
    </xf>
    <xf numFmtId="0" fontId="58" fillId="29" borderId="0" xfId="19" applyFont="1" applyFill="1" applyAlignment="1" applyProtection="1">
      <alignment horizontal="right"/>
      <protection locked="0"/>
    </xf>
    <xf numFmtId="0" fontId="22" fillId="0" borderId="0" xfId="19" applyFont="1" applyFill="1" applyAlignment="1" applyProtection="1">
      <alignment horizontal="left"/>
      <protection locked="0"/>
    </xf>
    <xf numFmtId="0" fontId="108" fillId="9" borderId="9" xfId="19" applyFont="1" applyFill="1" applyBorder="1" applyProtection="1">
      <protection locked="0"/>
    </xf>
    <xf numFmtId="0" fontId="33" fillId="5" borderId="0" xfId="19" applyFont="1" applyFill="1"/>
    <xf numFmtId="0" fontId="58" fillId="4" borderId="0" xfId="19" applyFont="1" applyFill="1"/>
    <xf numFmtId="0" fontId="33" fillId="4" borderId="0" xfId="19" applyFont="1" applyFill="1"/>
    <xf numFmtId="0" fontId="79" fillId="9" borderId="9" xfId="19" applyFont="1" applyFill="1" applyBorder="1"/>
    <xf numFmtId="0" fontId="79" fillId="5" borderId="0" xfId="19" applyFont="1" applyFill="1"/>
    <xf numFmtId="0" fontId="8" fillId="0" borderId="0" xfId="19"/>
    <xf numFmtId="0" fontId="33" fillId="9" borderId="0" xfId="19" applyFont="1" applyFill="1"/>
    <xf numFmtId="0" fontId="58" fillId="9" borderId="75" xfId="19" applyFont="1" applyFill="1" applyBorder="1"/>
    <xf numFmtId="0" fontId="33" fillId="12" borderId="27" xfId="19" applyFont="1" applyFill="1" applyBorder="1"/>
    <xf numFmtId="0" fontId="103" fillId="4" borderId="68" xfId="19" applyFont="1" applyFill="1" applyBorder="1" applyAlignment="1">
      <alignment horizontal="right"/>
    </xf>
    <xf numFmtId="166" fontId="33" fillId="0" borderId="70" xfId="19" applyNumberFormat="1" applyFont="1" applyBorder="1" applyAlignment="1" applyProtection="1">
      <alignment horizontal="left"/>
    </xf>
    <xf numFmtId="0" fontId="33" fillId="12" borderId="24" xfId="19" applyFont="1" applyFill="1" applyBorder="1"/>
    <xf numFmtId="0" fontId="33" fillId="12" borderId="0" xfId="19" applyFont="1" applyFill="1"/>
    <xf numFmtId="0" fontId="103" fillId="4" borderId="0" xfId="19" applyFont="1" applyFill="1" applyAlignment="1">
      <alignment horizontal="right"/>
    </xf>
    <xf numFmtId="166" fontId="86" fillId="0" borderId="70" xfId="19" applyNumberFormat="1" applyFont="1" applyBorder="1" applyAlignment="1" applyProtection="1">
      <alignment horizontal="left"/>
    </xf>
    <xf numFmtId="166" fontId="22" fillId="0" borderId="70" xfId="19" applyNumberFormat="1" applyFont="1" applyBorder="1" applyAlignment="1" applyProtection="1">
      <alignment horizontal="left"/>
    </xf>
    <xf numFmtId="0" fontId="79" fillId="5" borderId="0" xfId="19" applyFont="1" applyFill="1" applyAlignment="1">
      <alignment horizontal="left"/>
    </xf>
    <xf numFmtId="166" fontId="33" fillId="0" borderId="77" xfId="19" applyNumberFormat="1" applyFont="1" applyFill="1" applyBorder="1" applyAlignment="1" applyProtection="1">
      <alignment horizontal="left"/>
    </xf>
    <xf numFmtId="166" fontId="35" fillId="0" borderId="78" xfId="19" applyNumberFormat="1" applyFont="1" applyFill="1" applyBorder="1" applyAlignment="1" applyProtection="1">
      <alignment horizontal="left" wrapText="1"/>
    </xf>
    <xf numFmtId="0" fontId="103" fillId="4" borderId="0" xfId="19" applyFont="1" applyFill="1"/>
    <xf numFmtId="0" fontId="33" fillId="0" borderId="67" xfId="19" applyFont="1" applyBorder="1" applyAlignment="1" applyProtection="1">
      <alignment horizontal="left"/>
    </xf>
    <xf numFmtId="0" fontId="35" fillId="9" borderId="0" xfId="19" applyFont="1" applyFill="1"/>
    <xf numFmtId="0" fontId="36" fillId="9" borderId="0" xfId="19" applyFont="1" applyFill="1" applyAlignment="1">
      <alignment horizontal="right"/>
    </xf>
    <xf numFmtId="166" fontId="109" fillId="9" borderId="79" xfId="19" applyNumberFormat="1" applyFont="1" applyFill="1" applyBorder="1" applyAlignment="1" applyProtection="1">
      <alignment horizontal="left"/>
    </xf>
    <xf numFmtId="0" fontId="33" fillId="9" borderId="58" xfId="19" applyFont="1" applyFill="1" applyBorder="1"/>
    <xf numFmtId="0" fontId="79" fillId="9" borderId="80" xfId="19" applyFont="1" applyFill="1" applyBorder="1"/>
    <xf numFmtId="0" fontId="33" fillId="0" borderId="0" xfId="19" applyFont="1"/>
    <xf numFmtId="0" fontId="110" fillId="5" borderId="0" xfId="19" applyFont="1" applyFill="1"/>
    <xf numFmtId="0" fontId="110" fillId="0" borderId="0" xfId="19" applyFont="1" applyFill="1"/>
    <xf numFmtId="0" fontId="33" fillId="22" borderId="0" xfId="19" applyFont="1" applyFill="1"/>
    <xf numFmtId="0" fontId="110" fillId="22" borderId="0" xfId="19" applyFont="1" applyFill="1"/>
    <xf numFmtId="0" fontId="8" fillId="22" borderId="0" xfId="19" applyFill="1"/>
    <xf numFmtId="0" fontId="8" fillId="14" borderId="0" xfId="19" applyFill="1"/>
    <xf numFmtId="0" fontId="33" fillId="14" borderId="0" xfId="19" applyFont="1" applyFill="1"/>
    <xf numFmtId="0" fontId="110" fillId="14" borderId="0" xfId="19" applyFont="1" applyFill="1"/>
    <xf numFmtId="0" fontId="33" fillId="30" borderId="0" xfId="19" applyFont="1" applyFill="1"/>
    <xf numFmtId="0" fontId="110" fillId="30" borderId="0" xfId="19" applyFont="1" applyFill="1"/>
    <xf numFmtId="0" fontId="8" fillId="30" borderId="0" xfId="19" applyFill="1"/>
    <xf numFmtId="0" fontId="79" fillId="0" borderId="81" xfId="19" applyFont="1" applyBorder="1" applyAlignment="1"/>
    <xf numFmtId="0" fontId="8" fillId="0" borderId="82" xfId="19" applyBorder="1" applyAlignment="1"/>
    <xf numFmtId="0" fontId="8" fillId="0" borderId="83" xfId="19" applyBorder="1" applyAlignment="1"/>
    <xf numFmtId="2" fontId="33" fillId="0" borderId="0" xfId="19" applyNumberFormat="1" applyFont="1" applyAlignment="1">
      <alignment horizontal="left"/>
    </xf>
    <xf numFmtId="0" fontId="79" fillId="5" borderId="84" xfId="19" applyFont="1" applyFill="1" applyBorder="1"/>
    <xf numFmtId="0" fontId="79" fillId="5" borderId="0" xfId="19" applyFont="1" applyFill="1" applyBorder="1"/>
    <xf numFmtId="0" fontId="102" fillId="0" borderId="0" xfId="19" applyFont="1" applyFill="1" applyBorder="1" applyAlignment="1">
      <alignment vertical="top" wrapText="1"/>
    </xf>
    <xf numFmtId="0" fontId="102" fillId="0" borderId="85" xfId="19" applyFont="1" applyFill="1" applyBorder="1" applyAlignment="1">
      <alignment vertical="top" wrapText="1"/>
    </xf>
    <xf numFmtId="0" fontId="33" fillId="0" borderId="0" xfId="19" applyNumberFormat="1" applyFont="1" applyAlignment="1">
      <alignment horizontal="left"/>
    </xf>
    <xf numFmtId="0" fontId="79" fillId="5" borderId="84" xfId="19" applyFont="1" applyFill="1" applyBorder="1" applyAlignment="1">
      <alignment vertical="top" wrapText="1"/>
    </xf>
    <xf numFmtId="0" fontId="79" fillId="5" borderId="0" xfId="19" applyFont="1" applyFill="1" applyBorder="1" applyAlignment="1">
      <alignment vertical="top" wrapText="1"/>
    </xf>
    <xf numFmtId="0" fontId="8" fillId="0" borderId="0" xfId="19" applyFill="1" applyBorder="1" applyAlignment="1">
      <alignment vertical="top" wrapText="1"/>
    </xf>
    <xf numFmtId="0" fontId="8" fillId="0" borderId="85" xfId="19" applyNumberFormat="1" applyFill="1" applyBorder="1" applyAlignment="1" applyProtection="1">
      <alignment horizontal="right" vertical="center"/>
      <protection locked="0"/>
    </xf>
    <xf numFmtId="0" fontId="102" fillId="0" borderId="0" xfId="19" applyNumberFormat="1" applyFont="1" applyFill="1" applyBorder="1" applyAlignment="1" applyProtection="1">
      <alignment horizontal="left" vertical="center" wrapText="1"/>
      <protection locked="0"/>
    </xf>
    <xf numFmtId="0" fontId="8" fillId="0" borderId="85" xfId="19" applyFill="1" applyBorder="1" applyAlignment="1">
      <alignment horizontal="right" vertical="top" wrapText="1"/>
    </xf>
    <xf numFmtId="166" fontId="8" fillId="0" borderId="0" xfId="19" applyNumberFormat="1" applyFill="1" applyBorder="1" applyAlignment="1">
      <alignment vertical="top" wrapText="1"/>
    </xf>
    <xf numFmtId="0" fontId="79" fillId="5" borderId="86" xfId="19" applyFont="1" applyFill="1" applyBorder="1" applyAlignment="1">
      <alignment vertical="top" wrapText="1"/>
    </xf>
    <xf numFmtId="0" fontId="79" fillId="5" borderId="87" xfId="19" applyFont="1" applyFill="1" applyBorder="1" applyAlignment="1">
      <alignment vertical="top" wrapText="1"/>
    </xf>
    <xf numFmtId="0" fontId="8" fillId="0" borderId="87" xfId="19" applyFill="1" applyBorder="1" applyAlignment="1">
      <alignment vertical="top" wrapText="1"/>
    </xf>
    <xf numFmtId="0" fontId="8" fillId="0" borderId="88" xfId="19" applyFill="1" applyBorder="1" applyAlignment="1">
      <alignment horizontal="right" vertical="top" wrapText="1"/>
    </xf>
    <xf numFmtId="0" fontId="79" fillId="5" borderId="81" xfId="19" applyFont="1" applyFill="1" applyBorder="1" applyAlignment="1"/>
    <xf numFmtId="0" fontId="8" fillId="5" borderId="82" xfId="19" applyFont="1" applyFill="1" applyBorder="1" applyAlignment="1"/>
    <xf numFmtId="0" fontId="8" fillId="5" borderId="83" xfId="19" applyFont="1" applyFill="1" applyBorder="1" applyAlignment="1"/>
    <xf numFmtId="0" fontId="8" fillId="0" borderId="85" xfId="19" applyFill="1" applyBorder="1" applyAlignment="1">
      <alignment vertical="top" wrapText="1"/>
    </xf>
    <xf numFmtId="0" fontId="8" fillId="0" borderId="88" xfId="19" applyFill="1" applyBorder="1" applyAlignment="1">
      <alignment vertical="top" wrapText="1"/>
    </xf>
    <xf numFmtId="166" fontId="38" fillId="5" borderId="0" xfId="19" applyNumberFormat="1" applyFont="1" applyFill="1" applyBorder="1" applyAlignment="1">
      <alignment vertical="top" wrapText="1"/>
    </xf>
    <xf numFmtId="166" fontId="102" fillId="0" borderId="0" xfId="19" applyNumberFormat="1" applyFont="1" applyFill="1" applyBorder="1" applyAlignment="1">
      <alignment vertical="top" wrapText="1"/>
    </xf>
    <xf numFmtId="0" fontId="8" fillId="0" borderId="0" xfId="19" applyFill="1" applyBorder="1"/>
    <xf numFmtId="0" fontId="8" fillId="18" borderId="0" xfId="19" applyFill="1"/>
    <xf numFmtId="0" fontId="33" fillId="21" borderId="0" xfId="19" applyFont="1" applyFill="1"/>
    <xf numFmtId="0" fontId="79" fillId="14" borderId="0" xfId="19" applyFont="1" applyFill="1"/>
    <xf numFmtId="0" fontId="79" fillId="4" borderId="0" xfId="19" applyFont="1" applyFill="1"/>
    <xf numFmtId="0" fontId="110" fillId="4" borderId="0" xfId="19" applyFont="1" applyFill="1"/>
    <xf numFmtId="0" fontId="8" fillId="4" borderId="0" xfId="19" applyFill="1"/>
    <xf numFmtId="0" fontId="79" fillId="22" borderId="0" xfId="19" applyFont="1" applyFill="1"/>
    <xf numFmtId="0" fontId="86" fillId="0" borderId="0" xfId="19" applyFont="1"/>
    <xf numFmtId="0" fontId="33" fillId="18" borderId="0" xfId="19" applyFont="1" applyFill="1"/>
    <xf numFmtId="16" fontId="8" fillId="0" borderId="0" xfId="19" applyNumberFormat="1"/>
    <xf numFmtId="0" fontId="32" fillId="0" borderId="0" xfId="8" applyAlignment="1" applyProtection="1"/>
    <xf numFmtId="0" fontId="0" fillId="31" borderId="0" xfId="0" applyFill="1"/>
    <xf numFmtId="0" fontId="20" fillId="31" borderId="0" xfId="0" applyFont="1" applyFill="1"/>
    <xf numFmtId="0" fontId="13" fillId="31" borderId="92" xfId="0" applyFont="1" applyFill="1" applyBorder="1"/>
    <xf numFmtId="0" fontId="0" fillId="31" borderId="93" xfId="0" applyFill="1" applyBorder="1"/>
    <xf numFmtId="0" fontId="0" fillId="31" borderId="92" xfId="0" applyFill="1" applyBorder="1"/>
    <xf numFmtId="0" fontId="0" fillId="31" borderId="94" xfId="0" applyFill="1" applyBorder="1"/>
    <xf numFmtId="0" fontId="0" fillId="31" borderId="95" xfId="0" applyFill="1" applyBorder="1"/>
    <xf numFmtId="0" fontId="0" fillId="32" borderId="0" xfId="0" applyFill="1" applyProtection="1">
      <protection locked="0"/>
    </xf>
    <xf numFmtId="0" fontId="62" fillId="31" borderId="92" xfId="8" applyFont="1" applyFill="1" applyBorder="1" applyAlignment="1" applyProtection="1">
      <protection locked="0"/>
    </xf>
    <xf numFmtId="0" fontId="113" fillId="32" borderId="89" xfId="0" applyFont="1" applyFill="1" applyBorder="1" applyProtection="1">
      <protection locked="0"/>
    </xf>
    <xf numFmtId="0" fontId="53" fillId="0" borderId="28" xfId="0" applyFont="1" applyBorder="1" applyAlignment="1" applyProtection="1"/>
    <xf numFmtId="0" fontId="53" fillId="0" borderId="28" xfId="0" applyFont="1" applyFill="1" applyBorder="1" applyAlignment="1" applyProtection="1">
      <alignment horizontal="left" vertical="center"/>
    </xf>
    <xf numFmtId="0" fontId="43" fillId="9" borderId="28" xfId="0" applyFont="1" applyFill="1" applyBorder="1" applyAlignment="1" applyProtection="1">
      <alignment horizontal="right" vertical="center"/>
    </xf>
    <xf numFmtId="166" fontId="52" fillId="9" borderId="0" xfId="0" applyNumberFormat="1" applyFont="1" applyFill="1" applyBorder="1" applyAlignment="1" applyProtection="1">
      <alignment horizontal="left" vertical="center"/>
    </xf>
    <xf numFmtId="0" fontId="20" fillId="17" borderId="28" xfId="0" applyFont="1" applyFill="1" applyBorder="1" applyProtection="1"/>
    <xf numFmtId="0" fontId="16" fillId="19" borderId="28" xfId="0" applyFont="1" applyFill="1" applyBorder="1" applyAlignment="1" applyProtection="1">
      <alignment horizontal="right" vertical="center" wrapText="1"/>
    </xf>
    <xf numFmtId="0" fontId="16" fillId="19" borderId="0" xfId="0" applyFont="1" applyFill="1" applyBorder="1" applyAlignment="1" applyProtection="1">
      <alignment horizontal="center" vertical="center" wrapText="1"/>
    </xf>
    <xf numFmtId="0" fontId="6" fillId="0" borderId="64" xfId="13" applyFont="1" applyBorder="1" applyProtection="1">
      <protection locked="0"/>
    </xf>
    <xf numFmtId="0" fontId="62" fillId="31" borderId="26" xfId="8" applyFont="1" applyFill="1" applyBorder="1" applyAlignment="1" applyProtection="1">
      <protection locked="0"/>
    </xf>
    <xf numFmtId="0" fontId="5" fillId="0" borderId="0" xfId="22"/>
    <xf numFmtId="0" fontId="5" fillId="5" borderId="0" xfId="22" applyFill="1"/>
    <xf numFmtId="0" fontId="5" fillId="0" borderId="0" xfId="22" applyFill="1" applyAlignment="1"/>
    <xf numFmtId="0" fontId="114" fillId="5" borderId="0" xfId="22" applyFont="1" applyFill="1" applyAlignment="1">
      <alignment horizontal="left"/>
    </xf>
    <xf numFmtId="0" fontId="5" fillId="5" borderId="0" xfId="22" applyFill="1" applyAlignment="1"/>
    <xf numFmtId="0" fontId="115" fillId="5" borderId="0" xfId="22" applyFont="1" applyFill="1" applyBorder="1" applyAlignment="1">
      <alignment horizontal="left"/>
    </xf>
    <xf numFmtId="0" fontId="5" fillId="5" borderId="0" xfId="22" applyFill="1" applyAlignment="1">
      <alignment horizontal="center"/>
    </xf>
    <xf numFmtId="0" fontId="33" fillId="5" borderId="0" xfId="22" applyFont="1" applyFill="1" applyBorder="1" applyAlignment="1">
      <alignment horizontal="left"/>
    </xf>
    <xf numFmtId="0" fontId="116" fillId="5" borderId="0" xfId="22" applyFont="1" applyFill="1" applyBorder="1" applyAlignment="1">
      <alignment horizontal="left"/>
    </xf>
    <xf numFmtId="0" fontId="115" fillId="0" borderId="0" xfId="22" applyFont="1" applyFill="1"/>
    <xf numFmtId="0" fontId="5" fillId="0" borderId="0" xfId="22" applyFill="1"/>
    <xf numFmtId="0" fontId="79" fillId="5" borderId="99" xfId="22" applyFont="1" applyFill="1" applyBorder="1" applyAlignment="1"/>
    <xf numFmtId="0" fontId="5" fillId="5" borderId="100" xfId="22" applyFill="1" applyBorder="1" applyAlignment="1">
      <alignment horizontal="center"/>
    </xf>
    <xf numFmtId="0" fontId="33" fillId="5" borderId="100" xfId="22" applyFont="1" applyFill="1" applyBorder="1" applyAlignment="1">
      <alignment horizontal="left"/>
    </xf>
    <xf numFmtId="0" fontId="116" fillId="5" borderId="100" xfId="22" applyFont="1" applyFill="1" applyBorder="1" applyAlignment="1">
      <alignment horizontal="left"/>
    </xf>
    <xf numFmtId="0" fontId="5" fillId="5" borderId="101" xfId="22" applyFill="1" applyBorder="1" applyAlignment="1">
      <alignment horizontal="center"/>
    </xf>
    <xf numFmtId="0" fontId="5" fillId="5" borderId="0" xfId="22" applyFill="1" applyBorder="1" applyAlignment="1"/>
    <xf numFmtId="0" fontId="114" fillId="5" borderId="0" xfId="22" applyFont="1" applyFill="1" applyBorder="1" applyAlignment="1">
      <alignment horizontal="left"/>
    </xf>
    <xf numFmtId="0" fontId="5" fillId="5" borderId="0" xfId="22" applyFill="1" applyBorder="1" applyAlignment="1">
      <alignment horizontal="center"/>
    </xf>
    <xf numFmtId="0" fontId="5" fillId="5" borderId="102" xfId="22" applyFill="1" applyBorder="1" applyAlignment="1">
      <alignment horizontal="center"/>
    </xf>
    <xf numFmtId="0" fontId="5" fillId="33" borderId="96" xfId="22" applyFill="1" applyBorder="1" applyAlignment="1" applyProtection="1">
      <protection locked="0"/>
    </xf>
    <xf numFmtId="0" fontId="5" fillId="33" borderId="97" xfId="22" applyFill="1" applyBorder="1" applyAlignment="1" applyProtection="1">
      <protection locked="0"/>
    </xf>
    <xf numFmtId="0" fontId="5" fillId="33" borderId="98" xfId="22" applyFill="1" applyBorder="1" applyAlignment="1" applyProtection="1">
      <protection locked="0"/>
    </xf>
    <xf numFmtId="0" fontId="5" fillId="0" borderId="0" xfId="22" applyFill="1" applyBorder="1" applyAlignment="1" applyProtection="1">
      <protection locked="0"/>
    </xf>
    <xf numFmtId="0" fontId="5" fillId="33" borderId="103" xfId="22" applyFill="1" applyBorder="1" applyAlignment="1" applyProtection="1">
      <protection locked="0"/>
    </xf>
    <xf numFmtId="0" fontId="5" fillId="33" borderId="104" xfId="22" applyFill="1" applyBorder="1" applyAlignment="1" applyProtection="1">
      <protection locked="0"/>
    </xf>
    <xf numFmtId="168" fontId="5" fillId="33" borderId="105" xfId="22" applyNumberFormat="1" applyFill="1" applyBorder="1" applyAlignment="1" applyProtection="1">
      <protection locked="0"/>
    </xf>
    <xf numFmtId="0" fontId="79" fillId="5" borderId="0" xfId="22" applyFont="1" applyFill="1" applyBorder="1"/>
    <xf numFmtId="0" fontId="5" fillId="5" borderId="0" xfId="22" applyFill="1" applyBorder="1"/>
    <xf numFmtId="0" fontId="5" fillId="5" borderId="106" xfId="22" applyFill="1" applyBorder="1" applyAlignment="1">
      <alignment horizontal="center"/>
    </xf>
    <xf numFmtId="0" fontId="79" fillId="5" borderId="110" xfId="22" applyFont="1" applyFill="1" applyBorder="1"/>
    <xf numFmtId="0" fontId="5" fillId="5" borderId="110" xfId="22" applyFill="1" applyBorder="1" applyAlignment="1">
      <alignment horizontal="center"/>
    </xf>
    <xf numFmtId="0" fontId="5" fillId="5" borderId="110" xfId="22" applyFill="1" applyBorder="1"/>
    <xf numFmtId="0" fontId="5" fillId="5" borderId="111" xfId="22" applyFill="1" applyBorder="1"/>
    <xf numFmtId="0" fontId="5" fillId="5" borderId="112" xfId="22" applyFill="1" applyBorder="1" applyAlignment="1">
      <alignment horizontal="center"/>
    </xf>
    <xf numFmtId="0" fontId="5" fillId="5" borderId="0" xfId="22" applyFill="1" applyBorder="1" applyAlignment="1">
      <alignment horizontal="left"/>
    </xf>
    <xf numFmtId="0" fontId="5" fillId="0" borderId="0" xfId="22" applyBorder="1" applyAlignment="1">
      <alignment horizontal="left"/>
    </xf>
    <xf numFmtId="0" fontId="5" fillId="15" borderId="0" xfId="22" applyFill="1"/>
    <xf numFmtId="0" fontId="5" fillId="15" borderId="0" xfId="22" applyFill="1" applyAlignment="1"/>
    <xf numFmtId="0" fontId="114" fillId="15" borderId="0" xfId="22" applyFont="1" applyFill="1" applyAlignment="1">
      <alignment horizontal="left"/>
    </xf>
    <xf numFmtId="0" fontId="115" fillId="15" borderId="0" xfId="22" applyFont="1" applyFill="1" applyBorder="1" applyAlignment="1">
      <alignment horizontal="left"/>
    </xf>
    <xf numFmtId="0" fontId="5" fillId="15" borderId="0" xfId="22" applyFill="1" applyAlignment="1">
      <alignment horizontal="center"/>
    </xf>
    <xf numFmtId="0" fontId="33" fillId="15" borderId="0" xfId="22" applyFont="1" applyFill="1" applyBorder="1" applyAlignment="1">
      <alignment horizontal="left"/>
    </xf>
    <xf numFmtId="0" fontId="116" fillId="15" borderId="0" xfId="22" applyFont="1" applyFill="1" applyBorder="1" applyAlignment="1">
      <alignment horizontal="left"/>
    </xf>
    <xf numFmtId="0" fontId="5" fillId="15" borderId="114" xfId="22" applyFill="1" applyBorder="1" applyAlignment="1">
      <alignment horizontal="center"/>
    </xf>
    <xf numFmtId="0" fontId="5" fillId="0" borderId="0" xfId="22" applyFill="1" applyBorder="1"/>
    <xf numFmtId="0" fontId="5" fillId="4" borderId="115" xfId="22" applyFill="1" applyBorder="1"/>
    <xf numFmtId="0" fontId="5" fillId="4" borderId="118" xfId="22" applyFill="1" applyBorder="1"/>
    <xf numFmtId="0" fontId="117" fillId="5" borderId="119" xfId="22" applyFont="1" applyFill="1" applyBorder="1" applyAlignment="1">
      <alignment horizontal="center" vertical="center"/>
    </xf>
    <xf numFmtId="0" fontId="5" fillId="4" borderId="0" xfId="22" applyFont="1" applyFill="1" applyBorder="1" applyAlignment="1">
      <alignment horizontal="right"/>
    </xf>
    <xf numFmtId="0" fontId="98" fillId="5" borderId="119" xfId="22" applyFont="1" applyFill="1" applyBorder="1" applyAlignment="1"/>
    <xf numFmtId="0" fontId="114" fillId="4" borderId="0" xfId="22" applyFont="1" applyFill="1" applyBorder="1" applyAlignment="1" applyProtection="1">
      <alignment horizontal="left"/>
      <protection hidden="1"/>
    </xf>
    <xf numFmtId="0" fontId="115" fillId="0" borderId="0" xfId="22" applyFont="1" applyFill="1" applyBorder="1" applyAlignment="1">
      <alignment horizontal="center"/>
    </xf>
    <xf numFmtId="0" fontId="5" fillId="4" borderId="62" xfId="22" applyFill="1" applyBorder="1"/>
    <xf numFmtId="0" fontId="118" fillId="5" borderId="123" xfId="22" applyFont="1" applyFill="1" applyBorder="1" applyAlignment="1">
      <alignment horizontal="center" vertical="center"/>
    </xf>
    <xf numFmtId="0" fontId="119" fillId="4" borderId="0" xfId="22" applyFont="1" applyFill="1" applyBorder="1"/>
    <xf numFmtId="0" fontId="120" fillId="5" borderId="123" xfId="22" applyFont="1" applyFill="1" applyBorder="1" applyAlignment="1">
      <alignment horizontal="center"/>
    </xf>
    <xf numFmtId="0" fontId="5" fillId="5" borderId="124" xfId="22" applyFont="1" applyFill="1" applyBorder="1" applyAlignment="1"/>
    <xf numFmtId="0" fontId="115" fillId="5" borderId="71" xfId="22" applyFont="1" applyFill="1" applyBorder="1" applyAlignment="1" applyProtection="1">
      <alignment horizontal="left"/>
      <protection hidden="1"/>
    </xf>
    <xf numFmtId="0" fontId="5" fillId="5" borderId="71" xfId="22" applyFont="1" applyFill="1" applyBorder="1" applyAlignment="1">
      <alignment horizontal="center"/>
    </xf>
    <xf numFmtId="0" fontId="116" fillId="5" borderId="71" xfId="22" applyFont="1" applyFill="1" applyBorder="1" applyAlignment="1" applyProtection="1">
      <alignment horizontal="left"/>
      <protection hidden="1"/>
    </xf>
    <xf numFmtId="0" fontId="5" fillId="5" borderId="125" xfId="22" applyFont="1" applyFill="1" applyBorder="1" applyAlignment="1">
      <alignment horizontal="center"/>
    </xf>
    <xf numFmtId="0" fontId="115" fillId="0" borderId="0" xfId="22" applyFont="1" applyFill="1" applyBorder="1"/>
    <xf numFmtId="0" fontId="110" fillId="4" borderId="0" xfId="22" applyFont="1" applyFill="1" applyBorder="1" applyAlignment="1">
      <alignment horizontal="right"/>
    </xf>
    <xf numFmtId="0" fontId="110" fillId="4" borderId="0" xfId="22" applyFont="1" applyFill="1" applyBorder="1" applyAlignment="1"/>
    <xf numFmtId="0" fontId="114" fillId="4" borderId="0" xfId="22" applyFont="1" applyFill="1" applyBorder="1" applyAlignment="1">
      <alignment horizontal="right"/>
    </xf>
    <xf numFmtId="0" fontId="115" fillId="4" borderId="0" xfId="22" applyFont="1" applyFill="1" applyBorder="1" applyAlignment="1">
      <alignment horizontal="right"/>
    </xf>
    <xf numFmtId="0" fontId="110" fillId="4" borderId="0" xfId="22" applyFont="1" applyFill="1" applyBorder="1" applyAlignment="1">
      <alignment horizontal="center"/>
    </xf>
    <xf numFmtId="0" fontId="5" fillId="4" borderId="126" xfId="22" applyFill="1" applyBorder="1"/>
    <xf numFmtId="0" fontId="110" fillId="4" borderId="118" xfId="22" applyFont="1" applyFill="1" applyBorder="1"/>
    <xf numFmtId="0" fontId="95" fillId="0" borderId="127" xfId="22" applyFont="1" applyFill="1" applyBorder="1" applyAlignment="1">
      <alignment horizontal="left"/>
    </xf>
    <xf numFmtId="0" fontId="110" fillId="4" borderId="0" xfId="22" applyFont="1" applyFill="1" applyBorder="1"/>
    <xf numFmtId="0" fontId="110" fillId="33" borderId="127" xfId="22" applyFont="1" applyFill="1" applyBorder="1" applyAlignment="1" applyProtection="1">
      <protection locked="0"/>
    </xf>
    <xf numFmtId="0" fontId="123" fillId="4" borderId="0" xfId="22" applyFont="1" applyFill="1" applyBorder="1" applyAlignment="1" applyProtection="1">
      <alignment horizontal="left"/>
      <protection hidden="1"/>
    </xf>
    <xf numFmtId="0" fontId="110" fillId="33" borderId="128" xfId="22" applyFont="1" applyFill="1" applyBorder="1" applyAlignment="1" applyProtection="1">
      <protection locked="0"/>
    </xf>
    <xf numFmtId="0" fontId="115" fillId="4" borderId="0" xfId="22" applyFont="1" applyFill="1" applyBorder="1" applyAlignment="1" applyProtection="1">
      <alignment horizontal="left"/>
      <protection hidden="1"/>
    </xf>
    <xf numFmtId="0" fontId="110" fillId="33" borderId="127" xfId="22" applyFont="1" applyFill="1" applyBorder="1" applyAlignment="1" applyProtection="1">
      <alignment horizontal="center"/>
      <protection locked="0"/>
    </xf>
    <xf numFmtId="0" fontId="124" fillId="4" borderId="0" xfId="22" applyFont="1" applyFill="1" applyBorder="1" applyAlignment="1" applyProtection="1">
      <alignment horizontal="left"/>
      <protection hidden="1"/>
    </xf>
    <xf numFmtId="0" fontId="124" fillId="0" borderId="0" xfId="22" applyFont="1" applyFill="1" applyBorder="1"/>
    <xf numFmtId="0" fontId="110" fillId="4" borderId="62" xfId="22" applyFont="1" applyFill="1" applyBorder="1"/>
    <xf numFmtId="0" fontId="5" fillId="0" borderId="0" xfId="22" applyFill="1" applyAlignment="1">
      <alignment horizontal="center"/>
    </xf>
    <xf numFmtId="0" fontId="110" fillId="0" borderId="0" xfId="22" applyFont="1" applyFill="1"/>
    <xf numFmtId="0" fontId="110" fillId="0" borderId="0" xfId="22" applyFont="1"/>
    <xf numFmtId="0" fontId="95" fillId="0" borderId="0" xfId="22" applyFont="1" applyFill="1" applyBorder="1" applyAlignment="1">
      <alignment horizontal="right"/>
    </xf>
    <xf numFmtId="0" fontId="110" fillId="0" borderId="0" xfId="22" applyFont="1" applyFill="1" applyBorder="1" applyAlignment="1">
      <alignment horizontal="right"/>
    </xf>
    <xf numFmtId="0" fontId="95" fillId="0" borderId="0" xfId="22" applyFont="1" applyFill="1" applyBorder="1" applyAlignment="1" applyProtection="1">
      <protection hidden="1"/>
    </xf>
    <xf numFmtId="1" fontId="124" fillId="0" borderId="0" xfId="22" applyNumberFormat="1" applyFont="1" applyFill="1" applyBorder="1" applyAlignment="1" applyProtection="1">
      <alignment horizontal="left"/>
      <protection hidden="1"/>
    </xf>
    <xf numFmtId="0" fontId="115" fillId="0" borderId="0" xfId="22" applyFont="1" applyFill="1" applyBorder="1" applyAlignment="1" applyProtection="1">
      <alignment horizontal="left"/>
      <protection hidden="1"/>
    </xf>
    <xf numFmtId="0" fontId="95" fillId="0" borderId="0" xfId="22" applyFont="1" applyFill="1" applyBorder="1" applyAlignment="1" applyProtection="1">
      <alignment horizontal="center"/>
      <protection hidden="1"/>
    </xf>
    <xf numFmtId="0" fontId="124" fillId="0" borderId="0" xfId="22" applyFont="1" applyFill="1" applyBorder="1" applyAlignment="1" applyProtection="1">
      <alignment horizontal="left"/>
      <protection hidden="1"/>
    </xf>
    <xf numFmtId="0" fontId="22" fillId="0" borderId="0" xfId="22" applyFont="1" applyFill="1" applyBorder="1" applyAlignment="1">
      <alignment horizontal="right"/>
    </xf>
    <xf numFmtId="0" fontId="110" fillId="0" borderId="0" xfId="22" applyFont="1" applyFill="1" applyBorder="1"/>
    <xf numFmtId="1" fontId="110" fillId="0" borderId="0" xfId="22" applyNumberFormat="1" applyFont="1" applyFill="1" applyBorder="1" applyAlignment="1" applyProtection="1">
      <protection hidden="1"/>
    </xf>
    <xf numFmtId="0" fontId="110" fillId="0" borderId="0" xfId="22" applyFont="1" applyFill="1" applyBorder="1" applyAlignment="1" applyProtection="1">
      <protection hidden="1"/>
    </xf>
    <xf numFmtId="0" fontId="110" fillId="0" borderId="0" xfId="22" applyFont="1" applyFill="1" applyBorder="1" applyAlignment="1" applyProtection="1">
      <alignment horizontal="center"/>
      <protection hidden="1"/>
    </xf>
    <xf numFmtId="0" fontId="119" fillId="0" borderId="0" xfId="22" applyFont="1" applyFill="1" applyBorder="1"/>
    <xf numFmtId="1" fontId="5" fillId="0" borderId="0" xfId="22" applyNumberFormat="1" applyFill="1" applyBorder="1" applyAlignment="1" applyProtection="1">
      <protection hidden="1"/>
    </xf>
    <xf numFmtId="0" fontId="114" fillId="0" borderId="0" xfId="22" applyFont="1" applyFill="1" applyBorder="1" applyAlignment="1" applyProtection="1">
      <alignment horizontal="left"/>
      <protection hidden="1"/>
    </xf>
    <xf numFmtId="0" fontId="5" fillId="0" borderId="0" xfId="22" applyFill="1" applyBorder="1" applyAlignment="1" applyProtection="1">
      <protection hidden="1"/>
    </xf>
    <xf numFmtId="0" fontId="5" fillId="0" borderId="0" xfId="22" applyFill="1" applyBorder="1" applyAlignment="1" applyProtection="1">
      <alignment horizontal="center"/>
      <protection hidden="1"/>
    </xf>
    <xf numFmtId="0" fontId="119" fillId="0" borderId="0" xfId="22" applyFont="1" applyFill="1" applyBorder="1" applyAlignment="1" applyProtection="1">
      <protection hidden="1"/>
    </xf>
    <xf numFmtId="0" fontId="124" fillId="0" borderId="0" xfId="22" applyFont="1" applyFill="1" applyBorder="1" applyAlignment="1" applyProtection="1">
      <alignment horizontal="right"/>
      <protection hidden="1"/>
    </xf>
    <xf numFmtId="0" fontId="115" fillId="0" borderId="0" xfId="22" applyFont="1" applyFill="1" applyBorder="1" applyAlignment="1" applyProtection="1">
      <alignment horizontal="right"/>
      <protection hidden="1"/>
    </xf>
    <xf numFmtId="0" fontId="110" fillId="0" borderId="0" xfId="22" applyFont="1" applyFill="1" applyBorder="1" applyAlignment="1" applyProtection="1">
      <alignment horizontal="left"/>
      <protection hidden="1"/>
    </xf>
    <xf numFmtId="0" fontId="122" fillId="0" borderId="129" xfId="22" applyFont="1" applyFill="1" applyBorder="1" applyAlignment="1">
      <alignment horizontal="left"/>
    </xf>
    <xf numFmtId="0" fontId="116" fillId="4" borderId="0" xfId="22" applyFont="1" applyFill="1" applyBorder="1" applyAlignment="1" applyProtection="1">
      <alignment horizontal="left"/>
      <protection hidden="1"/>
    </xf>
    <xf numFmtId="0" fontId="5" fillId="4" borderId="114" xfId="22" applyFill="1" applyBorder="1"/>
    <xf numFmtId="0" fontId="5" fillId="4" borderId="65" xfId="22" applyFill="1" applyBorder="1"/>
    <xf numFmtId="0" fontId="5" fillId="4" borderId="65" xfId="22" applyFill="1" applyBorder="1" applyAlignment="1"/>
    <xf numFmtId="0" fontId="114" fillId="4" borderId="65" xfId="22" applyFont="1" applyFill="1" applyBorder="1" applyAlignment="1">
      <alignment horizontal="left"/>
    </xf>
    <xf numFmtId="0" fontId="115" fillId="4" borderId="65" xfId="22" applyFont="1" applyFill="1" applyBorder="1" applyAlignment="1">
      <alignment horizontal="left"/>
    </xf>
    <xf numFmtId="0" fontId="5" fillId="4" borderId="65" xfId="22" applyFill="1" applyBorder="1" applyAlignment="1">
      <alignment horizontal="center"/>
    </xf>
    <xf numFmtId="0" fontId="33" fillId="4" borderId="65" xfId="22" applyFont="1" applyFill="1" applyBorder="1" applyAlignment="1">
      <alignment horizontal="left"/>
    </xf>
    <xf numFmtId="0" fontId="116" fillId="4" borderId="65" xfId="22" applyFont="1" applyFill="1" applyBorder="1" applyAlignment="1">
      <alignment horizontal="left"/>
    </xf>
    <xf numFmtId="0" fontId="115" fillId="0" borderId="65" xfId="22" applyFont="1" applyFill="1" applyBorder="1"/>
    <xf numFmtId="0" fontId="5" fillId="4" borderId="130" xfId="22" applyFill="1" applyBorder="1"/>
    <xf numFmtId="0" fontId="115" fillId="4" borderId="0" xfId="22" applyFont="1" applyFill="1" applyBorder="1" applyAlignment="1">
      <alignment horizontal="center"/>
    </xf>
    <xf numFmtId="0" fontId="118" fillId="0" borderId="123" xfId="22" applyFont="1" applyFill="1" applyBorder="1" applyAlignment="1">
      <alignment horizontal="center" vertical="center"/>
    </xf>
    <xf numFmtId="0" fontId="115" fillId="4" borderId="0" xfId="22" applyFont="1" applyFill="1" applyBorder="1"/>
    <xf numFmtId="0" fontId="110" fillId="0" borderId="118" xfId="22" applyFont="1" applyFill="1" applyBorder="1"/>
    <xf numFmtId="0" fontId="124" fillId="4" borderId="0" xfId="22" applyFont="1" applyFill="1" applyBorder="1"/>
    <xf numFmtId="0" fontId="5" fillId="0" borderId="118" xfId="22" applyFill="1" applyBorder="1"/>
    <xf numFmtId="0" fontId="92" fillId="0" borderId="0" xfId="22" applyFont="1" applyFill="1" applyBorder="1" applyAlignment="1">
      <alignment horizontal="right"/>
    </xf>
    <xf numFmtId="0" fontId="5" fillId="0" borderId="0" xfId="22" applyFill="1" applyBorder="1" applyAlignment="1">
      <alignment horizontal="right"/>
    </xf>
    <xf numFmtId="0" fontId="95" fillId="4" borderId="0" xfId="22" applyFont="1" applyFill="1" applyBorder="1" applyAlignment="1">
      <alignment horizontal="right"/>
    </xf>
    <xf numFmtId="0" fontId="95" fillId="4" borderId="0" xfId="22" applyFont="1" applyFill="1" applyBorder="1" applyAlignment="1" applyProtection="1">
      <protection hidden="1"/>
    </xf>
    <xf numFmtId="0" fontId="124" fillId="4" borderId="0" xfId="22" applyFont="1" applyFill="1" applyBorder="1" applyAlignment="1" applyProtection="1">
      <alignment horizontal="right"/>
      <protection hidden="1"/>
    </xf>
    <xf numFmtId="0" fontId="115" fillId="4" borderId="0" xfId="22" applyFont="1" applyFill="1" applyBorder="1" applyAlignment="1" applyProtection="1">
      <alignment horizontal="right"/>
      <protection hidden="1"/>
    </xf>
    <xf numFmtId="0" fontId="95" fillId="4" borderId="0" xfId="22" applyFont="1" applyFill="1" applyBorder="1" applyAlignment="1" applyProtection="1">
      <alignment horizontal="center"/>
      <protection hidden="1"/>
    </xf>
    <xf numFmtId="0" fontId="5" fillId="13" borderId="118" xfId="22" applyFill="1" applyBorder="1"/>
    <xf numFmtId="0" fontId="22" fillId="8" borderId="0" xfId="22" applyFont="1" applyFill="1" applyBorder="1" applyAlignment="1">
      <alignment horizontal="right"/>
    </xf>
    <xf numFmtId="0" fontId="119" fillId="13" borderId="0" xfId="22" applyFont="1" applyFill="1" applyBorder="1"/>
    <xf numFmtId="0" fontId="22" fillId="34" borderId="0" xfId="22" applyFont="1" applyFill="1" applyBorder="1" applyAlignment="1">
      <alignment horizontal="right"/>
    </xf>
    <xf numFmtId="0" fontId="22" fillId="35" borderId="0" xfId="22" applyFont="1" applyFill="1" applyBorder="1" applyAlignment="1">
      <alignment horizontal="right"/>
    </xf>
    <xf numFmtId="0" fontId="110" fillId="13" borderId="0" xfId="22" applyFont="1" applyFill="1" applyBorder="1" applyAlignment="1">
      <alignment horizontal="right"/>
    </xf>
    <xf numFmtId="0" fontId="122" fillId="0" borderId="127" xfId="22" applyFont="1" applyFill="1" applyBorder="1" applyAlignment="1">
      <alignment horizontal="left"/>
    </xf>
    <xf numFmtId="0" fontId="115" fillId="4" borderId="65" xfId="22" applyFont="1" applyFill="1" applyBorder="1"/>
    <xf numFmtId="0" fontId="5" fillId="4" borderId="131" xfId="22" applyFill="1" applyBorder="1"/>
    <xf numFmtId="0" fontId="5" fillId="15" borderId="0" xfId="22" applyFill="1" applyBorder="1"/>
    <xf numFmtId="0" fontId="5" fillId="15" borderId="0" xfId="22" applyFill="1" applyBorder="1" applyAlignment="1"/>
    <xf numFmtId="0" fontId="114" fillId="15" borderId="0" xfId="22" applyFont="1" applyFill="1" applyBorder="1" applyAlignment="1">
      <alignment horizontal="left"/>
    </xf>
    <xf numFmtId="0" fontId="5" fillId="15" borderId="0" xfId="22" applyFill="1" applyBorder="1" applyAlignment="1">
      <alignment horizontal="center"/>
    </xf>
    <xf numFmtId="0" fontId="5" fillId="15" borderId="132" xfId="22" applyFill="1" applyBorder="1" applyAlignment="1">
      <alignment horizontal="center"/>
    </xf>
    <xf numFmtId="0" fontId="98" fillId="5" borderId="119" xfId="22" applyFont="1" applyFill="1" applyBorder="1" applyAlignment="1">
      <alignment horizontal="center"/>
    </xf>
    <xf numFmtId="0" fontId="120" fillId="5" borderId="136" xfId="22" applyFont="1" applyFill="1" applyBorder="1" applyAlignment="1">
      <alignment horizontal="center"/>
    </xf>
    <xf numFmtId="0" fontId="5" fillId="5" borderId="137" xfId="22" applyFont="1" applyFill="1" applyBorder="1" applyAlignment="1"/>
    <xf numFmtId="0" fontId="115" fillId="5" borderId="138" xfId="22" applyFont="1" applyFill="1" applyBorder="1" applyAlignment="1" applyProtection="1">
      <alignment horizontal="left"/>
      <protection hidden="1"/>
    </xf>
    <xf numFmtId="0" fontId="5" fillId="5" borderId="138" xfId="22" applyFont="1" applyFill="1" applyBorder="1" applyAlignment="1">
      <alignment horizontal="center"/>
    </xf>
    <xf numFmtId="0" fontId="116" fillId="5" borderId="138" xfId="22" applyFont="1" applyFill="1" applyBorder="1" applyAlignment="1" applyProtection="1">
      <alignment horizontal="left"/>
      <protection hidden="1"/>
    </xf>
    <xf numFmtId="0" fontId="5" fillId="5" borderId="139" xfId="22" applyFont="1" applyFill="1" applyBorder="1" applyAlignment="1">
      <alignment horizontal="center"/>
    </xf>
    <xf numFmtId="0" fontId="115" fillId="0" borderId="140" xfId="22" applyFont="1" applyFill="1" applyBorder="1"/>
    <xf numFmtId="0" fontId="95" fillId="0" borderId="141" xfId="22" applyFont="1" applyFill="1" applyBorder="1" applyAlignment="1">
      <alignment horizontal="left"/>
    </xf>
    <xf numFmtId="0" fontId="5" fillId="4" borderId="0" xfId="22" applyFill="1" applyBorder="1"/>
    <xf numFmtId="0" fontId="78" fillId="0" borderId="0" xfId="22" applyFont="1" applyFill="1"/>
    <xf numFmtId="0" fontId="114" fillId="4" borderId="142" xfId="22" applyFont="1" applyFill="1" applyBorder="1" applyAlignment="1" applyProtection="1">
      <alignment horizontal="left"/>
      <protection hidden="1"/>
    </xf>
    <xf numFmtId="0" fontId="110" fillId="33" borderId="141" xfId="22" applyFont="1" applyFill="1" applyBorder="1" applyAlignment="1" applyProtection="1">
      <protection locked="0"/>
    </xf>
    <xf numFmtId="0" fontId="5" fillId="4" borderId="0" xfId="22" applyFill="1" applyBorder="1" applyAlignment="1"/>
    <xf numFmtId="0" fontId="114" fillId="4" borderId="0" xfId="22" applyFont="1" applyFill="1" applyBorder="1" applyAlignment="1">
      <alignment horizontal="left"/>
    </xf>
    <xf numFmtId="0" fontId="115" fillId="4" borderId="0" xfId="22" applyFont="1" applyFill="1" applyBorder="1" applyAlignment="1">
      <alignment horizontal="left"/>
    </xf>
    <xf numFmtId="0" fontId="5" fillId="4" borderId="0" xfId="22" applyFill="1" applyBorder="1" applyAlignment="1">
      <alignment horizontal="center"/>
    </xf>
    <xf numFmtId="0" fontId="33" fillId="4" borderId="0" xfId="22" applyFont="1" applyFill="1" applyBorder="1" applyAlignment="1">
      <alignment horizontal="left"/>
    </xf>
    <xf numFmtId="0" fontId="116" fillId="4" borderId="0" xfId="22" applyFont="1" applyFill="1" applyBorder="1" applyAlignment="1">
      <alignment horizontal="left"/>
    </xf>
    <xf numFmtId="0" fontId="5" fillId="14" borderId="143" xfId="22" applyFill="1" applyBorder="1"/>
    <xf numFmtId="0" fontId="115" fillId="14" borderId="0" xfId="22" applyFont="1" applyFill="1"/>
    <xf numFmtId="0" fontId="5" fillId="14" borderId="7" xfId="22" applyFill="1" applyBorder="1"/>
    <xf numFmtId="0" fontId="115" fillId="4" borderId="116" xfId="22" applyFont="1" applyFill="1" applyBorder="1"/>
    <xf numFmtId="0" fontId="44" fillId="0" borderId="0" xfId="22" applyFont="1" applyFill="1"/>
    <xf numFmtId="0" fontId="127" fillId="8" borderId="145" xfId="22" applyFont="1" applyFill="1" applyBorder="1" applyAlignment="1" applyProtection="1">
      <alignment vertical="center"/>
      <protection locked="0" hidden="1"/>
    </xf>
    <xf numFmtId="0" fontId="127" fillId="8" borderId="0" xfId="22" applyFont="1" applyFill="1" applyBorder="1" applyAlignment="1" applyProtection="1">
      <alignment vertical="center"/>
      <protection hidden="1"/>
    </xf>
    <xf numFmtId="14" fontId="127" fillId="4" borderId="148" xfId="22" applyNumberFormat="1" applyFont="1" applyFill="1" applyBorder="1" applyAlignment="1" applyProtection="1">
      <alignment horizontal="left" vertical="center"/>
      <protection hidden="1"/>
    </xf>
    <xf numFmtId="0" fontId="127" fillId="8" borderId="149" xfId="22" applyFont="1" applyFill="1" applyBorder="1" applyAlignment="1" applyProtection="1">
      <alignment vertical="center"/>
      <protection hidden="1"/>
    </xf>
    <xf numFmtId="0" fontId="127" fillId="8" borderId="151" xfId="22" applyFont="1" applyFill="1" applyBorder="1" applyAlignment="1" applyProtection="1">
      <alignment vertical="center"/>
      <protection hidden="1"/>
    </xf>
    <xf numFmtId="0" fontId="5" fillId="28" borderId="153" xfId="22" applyFont="1" applyFill="1" applyBorder="1" applyProtection="1">
      <protection hidden="1"/>
    </xf>
    <xf numFmtId="0" fontId="5" fillId="8" borderId="154" xfId="22" applyFill="1" applyBorder="1" applyProtection="1">
      <protection hidden="1"/>
    </xf>
    <xf numFmtId="0" fontId="33" fillId="0" borderId="155" xfId="22" applyFont="1" applyBorder="1" applyAlignment="1" applyProtection="1">
      <alignment horizontal="center" vertical="center"/>
      <protection hidden="1"/>
    </xf>
    <xf numFmtId="0" fontId="33" fillId="4" borderId="0" xfId="22" applyFont="1" applyFill="1" applyBorder="1" applyAlignment="1" applyProtection="1">
      <alignment horizontal="center" vertical="center"/>
      <protection hidden="1"/>
    </xf>
    <xf numFmtId="0" fontId="33" fillId="0" borderId="156" xfId="22" applyFont="1" applyBorder="1" applyAlignment="1" applyProtection="1">
      <alignment horizontal="center" vertical="center"/>
      <protection hidden="1"/>
    </xf>
    <xf numFmtId="0" fontId="86" fillId="4" borderId="0" xfId="22" applyFont="1" applyFill="1" applyBorder="1" applyAlignment="1" applyProtection="1">
      <alignment horizontal="center" vertical="center"/>
      <protection hidden="1"/>
    </xf>
    <xf numFmtId="0" fontId="129" fillId="8" borderId="157" xfId="22" applyFont="1" applyFill="1" applyBorder="1" applyProtection="1">
      <protection hidden="1"/>
    </xf>
    <xf numFmtId="0" fontId="5" fillId="8" borderId="0" xfId="22" applyFill="1" applyBorder="1" applyProtection="1">
      <protection hidden="1"/>
    </xf>
    <xf numFmtId="0" fontId="33" fillId="0" borderId="158" xfId="22" applyFont="1" applyFill="1" applyBorder="1" applyAlignment="1" applyProtection="1">
      <alignment horizontal="center" vertical="center"/>
      <protection hidden="1"/>
    </xf>
    <xf numFmtId="0" fontId="33" fillId="0" borderId="159" xfId="22" applyFont="1" applyFill="1" applyBorder="1" applyAlignment="1" applyProtection="1">
      <alignment horizontal="center" vertical="center"/>
      <protection hidden="1"/>
    </xf>
    <xf numFmtId="0" fontId="33" fillId="0" borderId="160" xfId="22" applyFont="1" applyFill="1" applyBorder="1" applyAlignment="1" applyProtection="1">
      <alignment horizontal="center" vertical="center"/>
      <protection hidden="1"/>
    </xf>
    <xf numFmtId="0" fontId="129" fillId="4" borderId="157" xfId="22" applyFont="1" applyFill="1" applyBorder="1" applyAlignment="1">
      <alignment horizontal="left"/>
    </xf>
    <xf numFmtId="0" fontId="5" fillId="8" borderId="0" xfId="22" applyFill="1" applyBorder="1" applyAlignment="1">
      <alignment horizontal="right"/>
    </xf>
    <xf numFmtId="0" fontId="33" fillId="5" borderId="158" xfId="22" applyFont="1" applyFill="1" applyBorder="1" applyAlignment="1" applyProtection="1">
      <alignment horizontal="center" vertical="center"/>
      <protection hidden="1"/>
    </xf>
    <xf numFmtId="0" fontId="33" fillId="5" borderId="159" xfId="22" applyFont="1" applyFill="1" applyBorder="1" applyAlignment="1" applyProtection="1">
      <alignment horizontal="center" vertical="center"/>
      <protection hidden="1"/>
    </xf>
    <xf numFmtId="0" fontId="33" fillId="5" borderId="161" xfId="22" applyFont="1" applyFill="1" applyBorder="1" applyAlignment="1" applyProtection="1">
      <alignment horizontal="center" vertical="center"/>
      <protection hidden="1"/>
    </xf>
    <xf numFmtId="0" fontId="5" fillId="5" borderId="157" xfId="22" applyFont="1" applyFill="1" applyBorder="1" applyAlignment="1" applyProtection="1">
      <alignment horizontal="right" indent="1"/>
      <protection hidden="1"/>
    </xf>
    <xf numFmtId="0" fontId="86" fillId="4" borderId="0" xfId="22" applyFont="1" applyFill="1" applyBorder="1" applyAlignment="1">
      <alignment horizontal="center"/>
    </xf>
    <xf numFmtId="0" fontId="33" fillId="4" borderId="0" xfId="22" applyFont="1" applyFill="1" applyBorder="1" applyAlignment="1">
      <alignment horizontal="center"/>
    </xf>
    <xf numFmtId="0" fontId="5" fillId="0" borderId="0" xfId="22" applyFont="1" applyFill="1"/>
    <xf numFmtId="0" fontId="33" fillId="5" borderId="160" xfId="22" applyFont="1" applyFill="1" applyBorder="1" applyAlignment="1" applyProtection="1">
      <alignment horizontal="center" vertical="center"/>
      <protection hidden="1"/>
    </xf>
    <xf numFmtId="0" fontId="5" fillId="5" borderId="162" xfId="22" applyFont="1" applyFill="1" applyBorder="1" applyAlignment="1" applyProtection="1">
      <alignment horizontal="right" indent="1"/>
      <protection hidden="1"/>
    </xf>
    <xf numFmtId="0" fontId="33" fillId="5" borderId="163" xfId="22" applyFont="1" applyFill="1" applyBorder="1" applyAlignment="1" applyProtection="1">
      <alignment horizontal="center" vertical="center"/>
      <protection hidden="1"/>
    </xf>
    <xf numFmtId="0" fontId="130" fillId="4" borderId="0" xfId="22" applyFont="1" applyFill="1" applyBorder="1" applyAlignment="1" applyProtection="1">
      <alignment horizontal="center" vertical="center"/>
      <protection hidden="1"/>
    </xf>
    <xf numFmtId="0" fontId="33" fillId="5" borderId="164" xfId="22" applyFont="1" applyFill="1" applyBorder="1" applyAlignment="1" applyProtection="1">
      <alignment horizontal="center" vertical="center"/>
      <protection hidden="1"/>
    </xf>
    <xf numFmtId="0" fontId="86" fillId="4" borderId="165" xfId="22" applyFont="1" applyFill="1" applyBorder="1" applyAlignment="1" applyProtection="1">
      <alignment horizontal="center" vertical="center"/>
      <protection hidden="1"/>
    </xf>
    <xf numFmtId="0" fontId="5" fillId="8" borderId="0" xfId="22" applyFill="1" applyBorder="1" applyAlignment="1" applyProtection="1">
      <alignment horizontal="right"/>
      <protection hidden="1"/>
    </xf>
    <xf numFmtId="0" fontId="5" fillId="4" borderId="0" xfId="22" applyFill="1" applyBorder="1" applyAlignment="1" applyProtection="1">
      <alignment horizontal="center" vertical="center"/>
      <protection hidden="1"/>
    </xf>
    <xf numFmtId="0" fontId="114" fillId="4" borderId="0" xfId="22" applyFont="1" applyFill="1" applyBorder="1" applyAlignment="1" applyProtection="1">
      <alignment horizontal="center" vertical="center"/>
      <protection hidden="1"/>
    </xf>
    <xf numFmtId="0" fontId="115" fillId="4" borderId="0" xfId="22" applyFont="1" applyFill="1" applyBorder="1" applyAlignment="1" applyProtection="1">
      <alignment horizontal="center" vertical="center"/>
      <protection hidden="1"/>
    </xf>
    <xf numFmtId="0" fontId="116" fillId="4" borderId="0" xfId="22" applyFont="1" applyFill="1" applyBorder="1" applyAlignment="1" applyProtection="1">
      <alignment horizontal="center" vertical="center"/>
      <protection hidden="1"/>
    </xf>
    <xf numFmtId="0" fontId="5" fillId="8" borderId="166" xfId="22" applyFill="1" applyBorder="1" applyProtection="1">
      <protection hidden="1"/>
    </xf>
    <xf numFmtId="0" fontId="33" fillId="0" borderId="167" xfId="22" applyFont="1" applyBorder="1" applyAlignment="1" applyProtection="1">
      <alignment horizontal="center" vertical="center"/>
      <protection hidden="1"/>
    </xf>
    <xf numFmtId="0" fontId="33" fillId="0" borderId="168" xfId="22" applyFont="1" applyBorder="1" applyAlignment="1" applyProtection="1">
      <alignment horizontal="center" vertical="center"/>
      <protection hidden="1"/>
    </xf>
    <xf numFmtId="0" fontId="33" fillId="0" borderId="169" xfId="22" applyFont="1" applyFill="1" applyBorder="1" applyAlignment="1" applyProtection="1">
      <alignment horizontal="center" vertical="center"/>
      <protection hidden="1"/>
    </xf>
    <xf numFmtId="0" fontId="33" fillId="0" borderId="170" xfId="22" applyFont="1" applyFill="1" applyBorder="1" applyAlignment="1" applyProtection="1">
      <alignment horizontal="center" vertical="center"/>
      <protection hidden="1"/>
    </xf>
    <xf numFmtId="0" fontId="33" fillId="0" borderId="171" xfId="22" applyFont="1" applyFill="1" applyBorder="1" applyAlignment="1" applyProtection="1">
      <alignment horizontal="center" vertical="center"/>
      <protection hidden="1"/>
    </xf>
    <xf numFmtId="0" fontId="33" fillId="0" borderId="172" xfId="22" applyFont="1" applyFill="1" applyBorder="1" applyAlignment="1" applyProtection="1">
      <alignment horizontal="center" vertical="center"/>
      <protection hidden="1"/>
    </xf>
    <xf numFmtId="0" fontId="5" fillId="5" borderId="157" xfId="22" applyFill="1" applyBorder="1" applyAlignment="1" applyProtection="1">
      <alignment horizontal="right" indent="1"/>
      <protection hidden="1"/>
    </xf>
    <xf numFmtId="0" fontId="33" fillId="0" borderId="173" xfId="22" applyFont="1" applyBorder="1" applyAlignment="1" applyProtection="1">
      <alignment horizontal="center" vertical="center"/>
      <protection hidden="1"/>
    </xf>
    <xf numFmtId="0" fontId="33" fillId="0" borderId="161" xfId="22" applyFont="1" applyBorder="1" applyAlignment="1" applyProtection="1">
      <alignment horizontal="center" vertical="center"/>
      <protection hidden="1"/>
    </xf>
    <xf numFmtId="0" fontId="33" fillId="0" borderId="174" xfId="22" applyFont="1" applyBorder="1" applyAlignment="1" applyProtection="1">
      <alignment horizontal="center" vertical="center"/>
      <protection hidden="1"/>
    </xf>
    <xf numFmtId="1" fontId="5" fillId="0" borderId="0" xfId="22" applyNumberFormat="1" applyFill="1" applyBorder="1" applyAlignment="1" applyProtection="1">
      <alignment horizontal="center"/>
      <protection hidden="1"/>
    </xf>
    <xf numFmtId="0" fontId="110" fillId="0" borderId="0" xfId="22" applyFont="1" applyFill="1" applyBorder="1" applyAlignment="1" applyProtection="1">
      <alignment horizontal="center"/>
      <protection locked="0"/>
    </xf>
    <xf numFmtId="0" fontId="33" fillId="0" borderId="175" xfId="22" applyFont="1" applyFill="1" applyBorder="1" applyAlignment="1" applyProtection="1">
      <alignment horizontal="center" vertical="center"/>
      <protection hidden="1"/>
    </xf>
    <xf numFmtId="0" fontId="33" fillId="0" borderId="176" xfId="22" applyFont="1" applyFill="1" applyBorder="1" applyAlignment="1" applyProtection="1">
      <alignment horizontal="center" vertical="center"/>
      <protection hidden="1"/>
    </xf>
    <xf numFmtId="0" fontId="33" fillId="0" borderId="177" xfId="22" applyFont="1" applyFill="1" applyBorder="1" applyAlignment="1" applyProtection="1">
      <alignment horizontal="center" vertical="center"/>
      <protection hidden="1"/>
    </xf>
    <xf numFmtId="0" fontId="33" fillId="0" borderId="178" xfId="22" applyFont="1" applyFill="1" applyBorder="1" applyAlignment="1" applyProtection="1">
      <alignment horizontal="center" vertical="center"/>
      <protection hidden="1"/>
    </xf>
    <xf numFmtId="0" fontId="5" fillId="28" borderId="179" xfId="22" applyFont="1" applyFill="1" applyBorder="1" applyProtection="1">
      <protection hidden="1"/>
    </xf>
    <xf numFmtId="0" fontId="5" fillId="8" borderId="149" xfId="22" applyFill="1" applyBorder="1" applyProtection="1">
      <protection hidden="1"/>
    </xf>
    <xf numFmtId="0" fontId="130" fillId="4" borderId="180" xfId="22" applyFont="1" applyFill="1" applyBorder="1" applyAlignment="1" applyProtection="1">
      <alignment horizontal="center" vertical="center"/>
      <protection hidden="1"/>
    </xf>
    <xf numFmtId="0" fontId="86" fillId="4" borderId="180" xfId="22" applyFont="1" applyFill="1" applyBorder="1" applyAlignment="1" applyProtection="1">
      <alignment horizontal="center" vertical="center"/>
      <protection hidden="1"/>
    </xf>
    <xf numFmtId="0" fontId="33" fillId="0" borderId="181" xfId="22" applyFont="1" applyBorder="1" applyAlignment="1" applyProtection="1">
      <alignment horizontal="center" vertical="center"/>
      <protection hidden="1"/>
    </xf>
    <xf numFmtId="0" fontId="33" fillId="4" borderId="180" xfId="22" applyFont="1" applyFill="1" applyBorder="1" applyAlignment="1" applyProtection="1">
      <alignment horizontal="center" vertical="center"/>
      <protection hidden="1"/>
    </xf>
    <xf numFmtId="0" fontId="131" fillId="0" borderId="0" xfId="22" applyFont="1" applyFill="1"/>
    <xf numFmtId="0" fontId="129" fillId="8" borderId="182" xfId="22" applyFont="1" applyFill="1" applyBorder="1" applyProtection="1">
      <protection hidden="1"/>
    </xf>
    <xf numFmtId="0" fontId="129" fillId="4" borderId="182" xfId="22" applyFont="1" applyFill="1" applyBorder="1" applyAlignment="1" applyProtection="1">
      <alignment horizontal="left"/>
      <protection hidden="1"/>
    </xf>
    <xf numFmtId="0" fontId="33" fillId="0" borderId="183" xfId="22" applyFont="1" applyBorder="1" applyAlignment="1" applyProtection="1">
      <alignment horizontal="center" vertical="center"/>
      <protection hidden="1"/>
    </xf>
    <xf numFmtId="0" fontId="33" fillId="0" borderId="170" xfId="22" applyFont="1" applyBorder="1" applyAlignment="1" applyProtection="1">
      <alignment horizontal="center" vertical="center"/>
      <protection hidden="1"/>
    </xf>
    <xf numFmtId="0" fontId="33" fillId="0" borderId="184" xfId="22" applyFont="1" applyBorder="1" applyAlignment="1" applyProtection="1">
      <alignment horizontal="center" vertical="center"/>
      <protection hidden="1"/>
    </xf>
    <xf numFmtId="0" fontId="5" fillId="5" borderId="182" xfId="22" applyFont="1" applyFill="1" applyBorder="1" applyAlignment="1" applyProtection="1">
      <alignment horizontal="right" indent="1"/>
      <protection hidden="1"/>
    </xf>
    <xf numFmtId="0" fontId="34" fillId="0" borderId="0" xfId="22" applyFont="1" applyFill="1"/>
    <xf numFmtId="0" fontId="33" fillId="0" borderId="185" xfId="22" applyFont="1" applyFill="1" applyBorder="1" applyAlignment="1" applyProtection="1">
      <alignment horizontal="center" vertical="center"/>
      <protection hidden="1"/>
    </xf>
    <xf numFmtId="0" fontId="132" fillId="0" borderId="0" xfId="22" applyFont="1" applyFill="1"/>
    <xf numFmtId="0" fontId="5" fillId="5" borderId="186" xfId="22" applyFont="1" applyFill="1" applyBorder="1" applyAlignment="1" applyProtection="1">
      <alignment horizontal="right" indent="1"/>
      <protection hidden="1"/>
    </xf>
    <xf numFmtId="0" fontId="5" fillId="0" borderId="177" xfId="22" applyFill="1" applyBorder="1" applyAlignment="1" applyProtection="1">
      <alignment horizontal="center" vertical="center"/>
      <protection hidden="1"/>
    </xf>
    <xf numFmtId="0" fontId="114" fillId="4" borderId="180" xfId="22" applyFont="1" applyFill="1" applyBorder="1" applyAlignment="1" applyProtection="1">
      <alignment horizontal="center" vertical="center"/>
      <protection hidden="1"/>
    </xf>
    <xf numFmtId="0" fontId="115" fillId="4" borderId="180" xfId="22" applyFont="1" applyFill="1" applyBorder="1" applyAlignment="1" applyProtection="1">
      <alignment horizontal="center" vertical="center"/>
      <protection hidden="1"/>
    </xf>
    <xf numFmtId="0" fontId="5" fillId="0" borderId="187" xfId="22" applyFill="1" applyBorder="1" applyAlignment="1" applyProtection="1">
      <alignment horizontal="center" vertical="center"/>
      <protection hidden="1"/>
    </xf>
    <xf numFmtId="0" fontId="116" fillId="4" borderId="180" xfId="22" applyFont="1" applyFill="1" applyBorder="1" applyAlignment="1" applyProtection="1">
      <alignment horizontal="center" vertical="center"/>
      <protection hidden="1"/>
    </xf>
    <xf numFmtId="0" fontId="5" fillId="0" borderId="178" xfId="22" applyFill="1" applyBorder="1" applyAlignment="1" applyProtection="1">
      <alignment horizontal="center" vertical="center"/>
      <protection hidden="1"/>
    </xf>
    <xf numFmtId="0" fontId="33" fillId="0" borderId="188" xfId="22" applyFont="1" applyBorder="1" applyAlignment="1" applyProtection="1">
      <alignment horizontal="center" vertical="center"/>
      <protection hidden="1"/>
    </xf>
    <xf numFmtId="0" fontId="133" fillId="0" borderId="0" xfId="22" applyFont="1" applyFill="1"/>
    <xf numFmtId="0" fontId="33" fillId="0" borderId="189" xfId="22" applyFont="1" applyFill="1" applyBorder="1" applyAlignment="1" applyProtection="1">
      <alignment horizontal="center" vertical="center"/>
      <protection hidden="1"/>
    </xf>
    <xf numFmtId="0" fontId="129" fillId="4" borderId="157" xfId="22" applyFont="1" applyFill="1" applyBorder="1" applyAlignment="1" applyProtection="1">
      <alignment horizontal="left"/>
      <protection hidden="1"/>
    </xf>
    <xf numFmtId="0" fontId="33" fillId="0" borderId="190" xfId="22" applyFont="1" applyBorder="1" applyAlignment="1" applyProtection="1">
      <alignment horizontal="center" vertical="center"/>
      <protection hidden="1"/>
    </xf>
    <xf numFmtId="0" fontId="33" fillId="0" borderId="191" xfId="22" applyFont="1" applyBorder="1" applyAlignment="1" applyProtection="1">
      <alignment horizontal="center" vertical="center"/>
      <protection hidden="1"/>
    </xf>
    <xf numFmtId="0" fontId="33" fillId="0" borderId="192" xfId="22" applyFont="1" applyBorder="1" applyAlignment="1" applyProtection="1">
      <alignment horizontal="center" vertical="center"/>
      <protection hidden="1"/>
    </xf>
    <xf numFmtId="0" fontId="33" fillId="0" borderId="193" xfId="22" applyFont="1" applyBorder="1" applyAlignment="1" applyProtection="1">
      <alignment horizontal="center" vertical="center"/>
      <protection hidden="1"/>
    </xf>
    <xf numFmtId="0" fontId="134" fillId="0" borderId="0" xfId="22" applyFont="1" applyFill="1"/>
    <xf numFmtId="0" fontId="33" fillId="0" borderId="194" xfId="22" applyFont="1" applyFill="1" applyBorder="1" applyAlignment="1" applyProtection="1">
      <alignment horizontal="center" vertical="center"/>
      <protection hidden="1"/>
    </xf>
    <xf numFmtId="0" fontId="33" fillId="0" borderId="195" xfId="22" applyFont="1" applyFill="1" applyBorder="1" applyAlignment="1" applyProtection="1">
      <alignment horizontal="center" vertical="center"/>
      <protection hidden="1"/>
    </xf>
    <xf numFmtId="0" fontId="33" fillId="0" borderId="196" xfId="22" applyFont="1" applyFill="1" applyBorder="1" applyAlignment="1" applyProtection="1">
      <alignment horizontal="center" vertical="center"/>
      <protection hidden="1"/>
    </xf>
    <xf numFmtId="0" fontId="33" fillId="0" borderId="197" xfId="22" applyFont="1" applyFill="1" applyBorder="1" applyAlignment="1" applyProtection="1">
      <alignment horizontal="center" vertical="center"/>
      <protection hidden="1"/>
    </xf>
    <xf numFmtId="0" fontId="5" fillId="0" borderId="0" xfId="22" applyAlignment="1"/>
    <xf numFmtId="0" fontId="114" fillId="0" borderId="0" xfId="22" applyFont="1" applyAlignment="1">
      <alignment horizontal="left"/>
    </xf>
    <xf numFmtId="0" fontId="115" fillId="0" borderId="0" xfId="22" applyFont="1" applyFill="1" applyBorder="1" applyAlignment="1">
      <alignment horizontal="left"/>
    </xf>
    <xf numFmtId="0" fontId="5" fillId="0" borderId="0" xfId="22" applyAlignment="1">
      <alignment horizontal="center"/>
    </xf>
    <xf numFmtId="0" fontId="33" fillId="0" borderId="0" xfId="22" applyFont="1" applyFill="1" applyBorder="1" applyAlignment="1">
      <alignment horizontal="left"/>
    </xf>
    <xf numFmtId="0" fontId="116" fillId="0" borderId="0" xfId="22" applyFont="1" applyFill="1" applyBorder="1" applyAlignment="1">
      <alignment horizontal="left"/>
    </xf>
    <xf numFmtId="0" fontId="78" fillId="0" borderId="0" xfId="22" applyFont="1"/>
    <xf numFmtId="0" fontId="135" fillId="0" borderId="0" xfId="22" applyFont="1"/>
    <xf numFmtId="0" fontId="136" fillId="0" borderId="0" xfId="22" applyFont="1"/>
    <xf numFmtId="0" fontId="119" fillId="0" borderId="0" xfId="22" applyFont="1"/>
    <xf numFmtId="0" fontId="137" fillId="0" borderId="0" xfId="22" applyFont="1"/>
    <xf numFmtId="0" fontId="49" fillId="0" borderId="36" xfId="0" applyFont="1" applyFill="1" applyBorder="1" applyProtection="1">
      <protection locked="0"/>
    </xf>
    <xf numFmtId="0" fontId="0" fillId="0" borderId="0" xfId="0" applyProtection="1">
      <protection locked="0"/>
    </xf>
    <xf numFmtId="0" fontId="4" fillId="0" borderId="0" xfId="23"/>
    <xf numFmtId="49" fontId="10" fillId="0" borderId="61" xfId="13" applyNumberFormat="1" applyFont="1" applyBorder="1" applyProtection="1">
      <protection locked="0"/>
    </xf>
    <xf numFmtId="0" fontId="138" fillId="5" borderId="28" xfId="0" applyFont="1" applyFill="1" applyBorder="1"/>
    <xf numFmtId="0" fontId="139" fillId="9" borderId="0" xfId="13" applyFont="1" applyFill="1" applyAlignment="1" applyProtection="1">
      <alignment horizontal="left" vertical="center"/>
    </xf>
    <xf numFmtId="0" fontId="140" fillId="0" borderId="0" xfId="13" applyFont="1"/>
    <xf numFmtId="0" fontId="141" fillId="9" borderId="0" xfId="19" applyFont="1" applyFill="1" applyProtection="1">
      <protection locked="0"/>
    </xf>
    <xf numFmtId="0" fontId="115" fillId="0" borderId="0" xfId="22" applyFont="1"/>
    <xf numFmtId="0" fontId="3" fillId="0" borderId="0" xfId="13" applyFont="1" applyFill="1"/>
    <xf numFmtId="0" fontId="24" fillId="4" borderId="0" xfId="0" applyFont="1" applyFill="1" applyBorder="1" applyAlignment="1">
      <alignment horizontal="left" vertical="center"/>
    </xf>
    <xf numFmtId="0" fontId="0" fillId="4" borderId="0" xfId="0" applyFill="1" applyBorder="1" applyAlignment="1">
      <alignment vertical="center"/>
    </xf>
    <xf numFmtId="0" fontId="22" fillId="4" borderId="0" xfId="0" applyFont="1" applyFill="1" applyBorder="1" applyAlignment="1">
      <alignment vertical="center"/>
    </xf>
    <xf numFmtId="0" fontId="22" fillId="4" borderId="0" xfId="0" applyFont="1" applyFill="1" applyBorder="1" applyAlignment="1" applyProtection="1">
      <protection locked="0"/>
    </xf>
    <xf numFmtId="0" fontId="47" fillId="4" borderId="0" xfId="0" applyFont="1" applyFill="1" applyBorder="1" applyAlignment="1">
      <alignment horizontal="left" vertical="center"/>
    </xf>
    <xf numFmtId="0" fontId="0" fillId="4" borderId="0" xfId="0" applyFill="1" applyAlignment="1"/>
    <xf numFmtId="0" fontId="57" fillId="4" borderId="0" xfId="0" applyFont="1" applyFill="1" applyBorder="1" applyAlignment="1">
      <alignment horizontal="left" vertical="center"/>
    </xf>
    <xf numFmtId="0" fontId="25" fillId="36" borderId="0" xfId="4" applyFont="1" applyFill="1" applyProtection="1"/>
    <xf numFmtId="0" fontId="25" fillId="36" borderId="0" xfId="4" applyFont="1" applyFill="1"/>
    <xf numFmtId="0" fontId="25" fillId="13" borderId="0" xfId="4" applyFont="1" applyFill="1" applyBorder="1" applyProtection="1"/>
    <xf numFmtId="0" fontId="0" fillId="13" borderId="0" xfId="0" applyFill="1"/>
    <xf numFmtId="0" fontId="0" fillId="13" borderId="0" xfId="0" applyFill="1" applyBorder="1"/>
    <xf numFmtId="0" fontId="25" fillId="13" borderId="0" xfId="4" applyFont="1" applyFill="1"/>
    <xf numFmtId="0" fontId="13" fillId="13" borderId="0" xfId="0" applyFont="1" applyFill="1"/>
    <xf numFmtId="0" fontId="22" fillId="4" borderId="0" xfId="0" applyFont="1" applyFill="1" applyBorder="1" applyAlignment="1">
      <alignment vertical="center"/>
    </xf>
    <xf numFmtId="0" fontId="24" fillId="4" borderId="0" xfId="0" applyFont="1" applyFill="1" applyBorder="1" applyAlignment="1">
      <alignment horizontal="left" vertical="center"/>
    </xf>
    <xf numFmtId="0" fontId="38" fillId="10" borderId="198" xfId="0" applyFont="1" applyFill="1" applyBorder="1" applyAlignment="1">
      <alignment horizontal="left" vertical="center"/>
    </xf>
    <xf numFmtId="0" fontId="0" fillId="4" borderId="0" xfId="0" applyFill="1"/>
    <xf numFmtId="0" fontId="0" fillId="4" borderId="0" xfId="0" applyFill="1" applyAlignment="1" applyProtection="1"/>
    <xf numFmtId="0" fontId="76" fillId="4" borderId="0" xfId="0" applyFont="1" applyFill="1" applyBorder="1" applyAlignment="1">
      <alignment vertical="center"/>
    </xf>
    <xf numFmtId="0" fontId="76" fillId="4" borderId="0" xfId="0" applyFont="1" applyFill="1" applyBorder="1" applyAlignment="1"/>
    <xf numFmtId="0" fontId="24" fillId="4" borderId="0"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46" fillId="10" borderId="198" xfId="0" applyFont="1" applyFill="1" applyBorder="1" applyAlignment="1">
      <alignment horizontal="left" vertical="center"/>
    </xf>
    <xf numFmtId="0" fontId="24" fillId="5" borderId="198" xfId="0" applyFont="1" applyFill="1" applyBorder="1" applyAlignment="1" applyProtection="1">
      <alignment vertical="center"/>
      <protection locked="0"/>
    </xf>
    <xf numFmtId="0" fontId="24" fillId="0" borderId="198" xfId="0" applyFont="1" applyFill="1" applyBorder="1" applyAlignment="1" applyProtection="1">
      <alignment vertical="center"/>
      <protection locked="0"/>
    </xf>
    <xf numFmtId="0" fontId="91" fillId="10" borderId="0" xfId="0" applyFont="1" applyFill="1" applyBorder="1" applyAlignment="1">
      <alignment vertical="center" wrapText="1"/>
    </xf>
    <xf numFmtId="0" fontId="25" fillId="4" borderId="0" xfId="0" applyFont="1" applyFill="1" applyBorder="1" applyAlignment="1" applyProtection="1">
      <alignment vertical="center"/>
      <protection locked="0"/>
    </xf>
    <xf numFmtId="0" fontId="22" fillId="0" borderId="198" xfId="0" applyFont="1" applyFill="1" applyBorder="1" applyAlignment="1" applyProtection="1">
      <alignment vertical="center"/>
      <protection locked="0"/>
    </xf>
    <xf numFmtId="0" fontId="0" fillId="4" borderId="0" xfId="0" applyFill="1" applyAlignment="1"/>
    <xf numFmtId="0" fontId="0" fillId="4" borderId="0" xfId="0" applyFill="1" applyBorder="1" applyAlignment="1"/>
    <xf numFmtId="0" fontId="24" fillId="4" borderId="0" xfId="0" applyFont="1" applyFill="1" applyBorder="1" applyAlignment="1">
      <alignment horizontal="left" vertical="center"/>
    </xf>
    <xf numFmtId="0" fontId="22" fillId="4" borderId="0" xfId="0" applyFont="1" applyFill="1" applyBorder="1" applyAlignment="1">
      <alignment vertical="center"/>
    </xf>
    <xf numFmtId="0" fontId="13" fillId="37" borderId="0" xfId="0" applyFont="1" applyFill="1" applyBorder="1" applyAlignment="1"/>
    <xf numFmtId="0" fontId="0" fillId="37" borderId="0" xfId="0" applyFill="1" applyAlignment="1"/>
    <xf numFmtId="0" fontId="13" fillId="38" borderId="0" xfId="0" applyFont="1" applyFill="1" applyBorder="1" applyAlignment="1"/>
    <xf numFmtId="0" fontId="13" fillId="38" borderId="0" xfId="0" applyFont="1" applyFill="1"/>
    <xf numFmtId="0" fontId="13" fillId="38" borderId="0" xfId="0" applyFont="1" applyFill="1" applyAlignment="1"/>
    <xf numFmtId="0" fontId="13" fillId="38" borderId="0" xfId="0" applyFont="1" applyFill="1" applyBorder="1"/>
    <xf numFmtId="0" fontId="47" fillId="4" borderId="0" xfId="0" applyFont="1" applyFill="1" applyBorder="1" applyAlignment="1">
      <alignment vertical="center"/>
    </xf>
    <xf numFmtId="0" fontId="142" fillId="4" borderId="0" xfId="0" applyFont="1" applyFill="1" applyAlignment="1"/>
    <xf numFmtId="0" fontId="0" fillId="4" borderId="0" xfId="0" applyFill="1" applyAlignment="1"/>
    <xf numFmtId="0" fontId="0" fillId="4" borderId="0" xfId="0" applyFill="1" applyAlignment="1">
      <alignment vertical="center"/>
    </xf>
    <xf numFmtId="0" fontId="0" fillId="4" borderId="0" xfId="0" applyFill="1" applyBorder="1" applyAlignment="1"/>
    <xf numFmtId="0" fontId="22" fillId="4" borderId="0" xfId="0" applyFont="1" applyFill="1" applyBorder="1" applyAlignment="1">
      <alignment vertical="center"/>
    </xf>
    <xf numFmtId="0" fontId="25" fillId="0" borderId="0" xfId="4" applyFont="1" applyFill="1"/>
    <xf numFmtId="0" fontId="0" fillId="0" borderId="0" xfId="0" applyFill="1"/>
    <xf numFmtId="0" fontId="0" fillId="38" borderId="0" xfId="0" applyFill="1" applyAlignment="1"/>
    <xf numFmtId="0" fontId="25" fillId="4" borderId="0" xfId="0" applyFont="1" applyFill="1" applyBorder="1" applyAlignment="1" applyProtection="1">
      <alignment vertical="center"/>
      <protection locked="0"/>
    </xf>
    <xf numFmtId="0" fontId="28" fillId="39" borderId="0" xfId="9" applyFont="1" applyFill="1"/>
    <xf numFmtId="0" fontId="13" fillId="39" borderId="0" xfId="4" applyFont="1" applyFill="1" applyBorder="1" applyAlignment="1">
      <alignment wrapText="1"/>
    </xf>
    <xf numFmtId="0" fontId="13" fillId="0" borderId="0" xfId="4" applyFill="1" applyBorder="1"/>
    <xf numFmtId="0" fontId="22" fillId="0" borderId="0" xfId="4" applyFont="1" applyFill="1" applyBorder="1"/>
    <xf numFmtId="0" fontId="22" fillId="0" borderId="0" xfId="4" applyFont="1" applyFill="1" applyBorder="1" applyAlignment="1">
      <alignment wrapText="1"/>
    </xf>
    <xf numFmtId="0" fontId="27" fillId="4" borderId="0" xfId="4" applyFont="1" applyFill="1" applyBorder="1" applyAlignment="1">
      <alignment horizontal="left" vertical="center"/>
    </xf>
    <xf numFmtId="0" fontId="0" fillId="4" borderId="0" xfId="0" applyFill="1" applyAlignment="1"/>
    <xf numFmtId="0" fontId="22" fillId="4" borderId="0" xfId="0" applyFont="1" applyFill="1" applyBorder="1" applyAlignment="1">
      <alignment vertical="center"/>
    </xf>
    <xf numFmtId="0" fontId="24" fillId="4" borderId="0" xfId="0" applyFont="1" applyFill="1" applyBorder="1" applyAlignment="1">
      <alignment horizontal="left" vertical="center"/>
    </xf>
    <xf numFmtId="0" fontId="91" fillId="10" borderId="0" xfId="0" applyFont="1" applyFill="1" applyBorder="1" applyAlignment="1">
      <alignment horizontal="right" vertical="center"/>
    </xf>
    <xf numFmtId="0" fontId="86" fillId="10" borderId="0" xfId="0" applyFont="1" applyFill="1" applyBorder="1" applyAlignment="1">
      <alignment horizontal="right" vertical="center"/>
    </xf>
    <xf numFmtId="0" fontId="29" fillId="4" borderId="0" xfId="0" applyFont="1" applyFill="1" applyBorder="1" applyAlignment="1" applyProtection="1">
      <alignment vertical="center" wrapText="1"/>
    </xf>
    <xf numFmtId="0" fontId="29" fillId="5" borderId="0" xfId="0" applyFont="1" applyFill="1" applyBorder="1" applyAlignment="1" applyProtection="1">
      <alignment vertical="center" wrapText="1"/>
    </xf>
    <xf numFmtId="0" fontId="0" fillId="5" borderId="0" xfId="0" applyFill="1" applyAlignment="1"/>
    <xf numFmtId="0" fontId="22" fillId="5" borderId="0" xfId="0" applyFont="1" applyFill="1" applyBorder="1"/>
    <xf numFmtId="0" fontId="22" fillId="6" borderId="44" xfId="0" applyFont="1" applyFill="1" applyBorder="1"/>
    <xf numFmtId="0" fontId="22" fillId="8" borderId="201" xfId="0" applyFont="1" applyFill="1" applyBorder="1"/>
    <xf numFmtId="0" fontId="46" fillId="10" borderId="0" xfId="0" applyFont="1" applyFill="1" applyBorder="1" applyAlignment="1">
      <alignment horizontal="left" vertical="center"/>
    </xf>
    <xf numFmtId="166" fontId="28" fillId="4" borderId="25" xfId="0" applyNumberFormat="1" applyFont="1" applyFill="1" applyBorder="1" applyAlignment="1" applyProtection="1">
      <alignment horizontal="left" vertical="center"/>
      <protection locked="0"/>
    </xf>
    <xf numFmtId="166" fontId="0" fillId="4" borderId="0" xfId="0" applyNumberFormat="1" applyFill="1" applyBorder="1" applyAlignment="1" applyProtection="1">
      <alignment vertical="center"/>
      <protection locked="0"/>
    </xf>
    <xf numFmtId="0" fontId="29" fillId="40" borderId="0" xfId="0" applyFont="1" applyFill="1" applyBorder="1" applyAlignment="1" applyProtection="1">
      <alignment vertical="center" wrapText="1"/>
    </xf>
    <xf numFmtId="0" fontId="0" fillId="40" borderId="0" xfId="0" applyFill="1" applyAlignment="1"/>
    <xf numFmtId="0" fontId="29" fillId="40" borderId="202" xfId="8" applyFont="1" applyFill="1" applyBorder="1" applyAlignment="1" applyProtection="1"/>
    <xf numFmtId="0" fontId="29" fillId="40" borderId="26" xfId="8" applyFont="1" applyFill="1" applyBorder="1" applyAlignment="1" applyProtection="1"/>
    <xf numFmtId="0" fontId="57" fillId="40" borderId="26" xfId="0" applyFont="1" applyFill="1" applyBorder="1" applyAlignment="1">
      <alignment horizontal="left" vertical="center"/>
    </xf>
    <xf numFmtId="0" fontId="30" fillId="40" borderId="26" xfId="0" applyFont="1" applyFill="1" applyBorder="1" applyAlignment="1" applyProtection="1">
      <alignment vertical="center"/>
    </xf>
    <xf numFmtId="0" fontId="24" fillId="40" borderId="26" xfId="0" applyFont="1" applyFill="1" applyBorder="1" applyAlignment="1">
      <alignment horizontal="left" vertical="center"/>
    </xf>
    <xf numFmtId="0" fontId="29" fillId="40" borderId="26" xfId="0" applyFont="1" applyFill="1" applyBorder="1" applyAlignment="1" applyProtection="1">
      <alignment vertical="center" wrapText="1"/>
    </xf>
    <xf numFmtId="0" fontId="0" fillId="40" borderId="26" xfId="0" applyFill="1" applyBorder="1" applyAlignment="1"/>
    <xf numFmtId="0" fontId="22" fillId="40" borderId="204" xfId="0" applyFont="1" applyFill="1" applyBorder="1" applyAlignment="1">
      <alignment vertical="center"/>
    </xf>
    <xf numFmtId="0" fontId="22" fillId="40" borderId="205" xfId="0" applyFont="1" applyFill="1" applyBorder="1" applyAlignment="1">
      <alignment vertical="center"/>
    </xf>
    <xf numFmtId="0" fontId="0" fillId="40" borderId="205" xfId="0" applyFill="1" applyBorder="1" applyAlignment="1"/>
    <xf numFmtId="0" fontId="22" fillId="40" borderId="205" xfId="0" applyFont="1" applyFill="1" applyBorder="1"/>
    <xf numFmtId="0" fontId="86" fillId="5" borderId="0" xfId="0" applyFont="1" applyFill="1" applyBorder="1" applyAlignment="1" applyProtection="1">
      <protection locked="0"/>
    </xf>
    <xf numFmtId="0" fontId="91" fillId="5" borderId="0" xfId="0" applyFont="1" applyFill="1" applyBorder="1" applyAlignment="1">
      <alignment horizontal="left" vertical="center"/>
    </xf>
    <xf numFmtId="0" fontId="91" fillId="5" borderId="0" xfId="0" applyFont="1" applyFill="1" applyBorder="1" applyAlignment="1" applyProtection="1">
      <alignment vertical="center"/>
      <protection locked="0"/>
    </xf>
    <xf numFmtId="0" fontId="20" fillId="5" borderId="0" xfId="0" applyFont="1" applyFill="1" applyBorder="1" applyAlignment="1" applyProtection="1">
      <alignment vertical="center"/>
      <protection locked="0"/>
    </xf>
    <xf numFmtId="0" fontId="13" fillId="0" borderId="0" xfId="0" applyFont="1" applyFill="1"/>
    <xf numFmtId="49" fontId="1" fillId="0" borderId="59" xfId="13" applyNumberFormat="1" applyFont="1" applyFill="1" applyBorder="1"/>
    <xf numFmtId="49" fontId="1" fillId="0" borderId="0" xfId="13" applyNumberFormat="1" applyFont="1" applyFill="1"/>
    <xf numFmtId="0" fontId="0" fillId="0" borderId="0" xfId="0" applyAlignment="1">
      <alignment horizontal="left" vertical="center"/>
    </xf>
    <xf numFmtId="0" fontId="13" fillId="0" borderId="0" xfId="0" applyFont="1" applyAlignment="1">
      <alignment wrapText="1"/>
    </xf>
    <xf numFmtId="166" fontId="51" fillId="6" borderId="22" xfId="0" applyNumberFormat="1" applyFont="1" applyFill="1" applyBorder="1" applyAlignment="1" applyProtection="1">
      <alignment horizontal="left"/>
      <protection locked="0"/>
    </xf>
    <xf numFmtId="166" fontId="51" fillId="6" borderId="19" xfId="0" applyNumberFormat="1" applyFont="1" applyFill="1" applyBorder="1" applyAlignment="1" applyProtection="1">
      <alignment horizontal="left"/>
      <protection locked="0"/>
    </xf>
    <xf numFmtId="166" fontId="51" fillId="6" borderId="20" xfId="0" applyNumberFormat="1" applyFont="1" applyFill="1" applyBorder="1" applyAlignment="1" applyProtection="1">
      <alignment horizontal="left"/>
      <protection locked="0"/>
    </xf>
    <xf numFmtId="166" fontId="51" fillId="6" borderId="21" xfId="0" applyNumberFormat="1" applyFont="1" applyFill="1" applyBorder="1" applyAlignment="1" applyProtection="1">
      <alignment horizontal="left"/>
      <protection locked="0"/>
    </xf>
    <xf numFmtId="0" fontId="0" fillId="5" borderId="14" xfId="0" applyFill="1" applyBorder="1" applyAlignment="1" applyProtection="1">
      <alignment horizontal="left" vertical="center"/>
    </xf>
    <xf numFmtId="0" fontId="22" fillId="6" borderId="0" xfId="0" applyFont="1" applyFill="1" applyBorder="1" applyAlignment="1">
      <alignment horizontal="left" vertical="center"/>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19" fillId="4" borderId="0" xfId="0" applyFont="1" applyFill="1" applyBorder="1" applyAlignment="1">
      <alignment horizontal="left" vertical="center"/>
    </xf>
    <xf numFmtId="0" fontId="17" fillId="4" borderId="0" xfId="0" applyFont="1" applyFill="1" applyBorder="1" applyAlignment="1">
      <alignment horizontal="left" vertical="center"/>
    </xf>
    <xf numFmtId="16" fontId="15" fillId="4" borderId="0" xfId="0" applyNumberFormat="1" applyFont="1" applyFill="1" applyBorder="1" applyAlignment="1">
      <alignment horizontal="left" vertical="center"/>
    </xf>
    <xf numFmtId="0" fontId="0" fillId="0" borderId="0" xfId="0" applyFill="1" applyBorder="1" applyAlignment="1">
      <alignment horizontal="left" vertical="center"/>
    </xf>
    <xf numFmtId="0" fontId="28" fillId="22" borderId="0" xfId="9" applyFont="1" applyFill="1" applyAlignment="1">
      <alignment horizontal="left" vertical="center"/>
    </xf>
    <xf numFmtId="0" fontId="13" fillId="22" borderId="0" xfId="4" applyFont="1" applyFill="1" applyBorder="1" applyAlignment="1">
      <alignment horizontal="left" vertical="center" wrapText="1"/>
    </xf>
    <xf numFmtId="0" fontId="11" fillId="22" borderId="0" xfId="9" applyFill="1" applyAlignment="1">
      <alignment horizontal="left" vertical="center"/>
    </xf>
    <xf numFmtId="0" fontId="22" fillId="22" borderId="0" xfId="0" applyFont="1" applyFill="1" applyBorder="1" applyAlignment="1">
      <alignment horizontal="left" vertical="center"/>
    </xf>
    <xf numFmtId="0" fontId="28" fillId="39" borderId="0" xfId="9" applyFont="1" applyFill="1" applyAlignment="1">
      <alignment horizontal="left" vertical="center"/>
    </xf>
    <xf numFmtId="0" fontId="13" fillId="39" borderId="0" xfId="4" applyFont="1" applyFill="1" applyBorder="1" applyAlignment="1">
      <alignment horizontal="left" vertical="center" wrapText="1"/>
    </xf>
    <xf numFmtId="0" fontId="13" fillId="0" borderId="0" xfId="4" applyFill="1" applyBorder="1" applyAlignment="1">
      <alignment horizontal="left" vertical="center"/>
    </xf>
    <xf numFmtId="0" fontId="22" fillId="4" borderId="0" xfId="0" applyFont="1" applyFill="1" applyBorder="1" applyAlignment="1">
      <alignment horizontal="left" vertical="center"/>
    </xf>
    <xf numFmtId="0" fontId="34" fillId="4"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14" borderId="0" xfId="0" applyFill="1" applyBorder="1" applyAlignment="1">
      <alignment horizontal="left" vertical="center"/>
    </xf>
    <xf numFmtId="2" fontId="22" fillId="0" borderId="0" xfId="0" applyNumberFormat="1" applyFont="1" applyFill="1" applyBorder="1" applyAlignment="1">
      <alignment horizontal="left" vertical="center"/>
    </xf>
    <xf numFmtId="0" fontId="0" fillId="41" borderId="0" xfId="0" applyFill="1" applyBorder="1"/>
    <xf numFmtId="0" fontId="13" fillId="41" borderId="0" xfId="0" applyFont="1" applyFill="1" applyBorder="1"/>
    <xf numFmtId="2" fontId="0" fillId="41" borderId="0" xfId="0" applyNumberFormat="1" applyFill="1" applyBorder="1"/>
    <xf numFmtId="166" fontId="0" fillId="41" borderId="0" xfId="0" applyNumberFormat="1" applyFill="1" applyBorder="1"/>
    <xf numFmtId="2" fontId="0" fillId="42" borderId="0" xfId="0" applyNumberFormat="1" applyFill="1" applyBorder="1"/>
    <xf numFmtId="0" fontId="19" fillId="41" borderId="0" xfId="0" applyFont="1" applyFill="1" applyBorder="1" applyAlignment="1">
      <alignment horizontal="left" vertical="center"/>
    </xf>
    <xf numFmtId="0" fontId="17" fillId="41" borderId="0" xfId="0" applyFont="1" applyFill="1" applyBorder="1" applyAlignment="1">
      <alignment horizontal="left" vertical="center"/>
    </xf>
    <xf numFmtId="16" fontId="15" fillId="41" borderId="0" xfId="0" applyNumberFormat="1" applyFont="1" applyFill="1" applyBorder="1" applyAlignment="1">
      <alignment horizontal="left" vertical="center"/>
    </xf>
    <xf numFmtId="164" fontId="18" fillId="41" borderId="0" xfId="0" applyNumberFormat="1" applyFont="1" applyFill="1" applyBorder="1" applyAlignment="1">
      <alignment horizontal="left" vertical="center"/>
    </xf>
    <xf numFmtId="3" fontId="18" fillId="41" borderId="0" xfId="0" applyNumberFormat="1" applyFont="1" applyFill="1" applyBorder="1" applyAlignment="1">
      <alignment horizontal="left" vertical="center"/>
    </xf>
    <xf numFmtId="3" fontId="17" fillId="41" borderId="0" xfId="0" applyNumberFormat="1" applyFont="1" applyFill="1" applyBorder="1" applyAlignment="1">
      <alignment horizontal="left" vertical="center"/>
    </xf>
    <xf numFmtId="165" fontId="17" fillId="41" borderId="0" xfId="0" applyNumberFormat="1" applyFont="1" applyFill="1" applyBorder="1" applyAlignment="1">
      <alignment horizontal="left" vertical="center"/>
    </xf>
    <xf numFmtId="44" fontId="17" fillId="41" borderId="0" xfId="1" applyFont="1" applyFill="1" applyBorder="1" applyAlignment="1">
      <alignment horizontal="left" vertical="center"/>
    </xf>
    <xf numFmtId="167" fontId="17" fillId="41" borderId="0" xfId="2" applyNumberFormat="1" applyFont="1" applyFill="1" applyBorder="1" applyAlignment="1">
      <alignment horizontal="left" vertical="center"/>
    </xf>
    <xf numFmtId="166" fontId="18" fillId="41" borderId="0" xfId="0" applyNumberFormat="1" applyFont="1" applyFill="1" applyBorder="1" applyAlignment="1">
      <alignment horizontal="left" vertical="center"/>
    </xf>
    <xf numFmtId="0" fontId="17" fillId="41" borderId="0" xfId="0" applyFont="1" applyFill="1" applyBorder="1"/>
    <xf numFmtId="3" fontId="17" fillId="41" borderId="0" xfId="0" applyNumberFormat="1" applyFont="1" applyFill="1" applyBorder="1"/>
    <xf numFmtId="3" fontId="17" fillId="41" borderId="0" xfId="0" applyNumberFormat="1" applyFont="1" applyFill="1" applyBorder="1" applyAlignment="1">
      <alignment horizontal="center"/>
    </xf>
    <xf numFmtId="165" fontId="17" fillId="41" borderId="0" xfId="0" applyNumberFormat="1" applyFont="1" applyFill="1" applyBorder="1" applyAlignment="1"/>
    <xf numFmtId="44" fontId="17" fillId="41" borderId="0" xfId="1" applyFont="1" applyFill="1" applyBorder="1"/>
    <xf numFmtId="167" fontId="17" fillId="41" borderId="0" xfId="2" applyNumberFormat="1" applyFont="1" applyFill="1" applyBorder="1"/>
    <xf numFmtId="0" fontId="19" fillId="41" borderId="0" xfId="0" applyFont="1" applyFill="1" applyBorder="1"/>
    <xf numFmtId="16" fontId="15" fillId="41" borderId="0" xfId="0" applyNumberFormat="1" applyFont="1" applyFill="1" applyBorder="1" applyAlignment="1">
      <alignment horizontal="center"/>
    </xf>
    <xf numFmtId="164" fontId="18" fillId="41" borderId="0" xfId="0" applyNumberFormat="1" applyFont="1" applyFill="1" applyBorder="1"/>
    <xf numFmtId="3" fontId="18" fillId="41" borderId="0" xfId="0" applyNumberFormat="1" applyFont="1" applyFill="1" applyBorder="1" applyAlignment="1">
      <alignment horizontal="left"/>
    </xf>
    <xf numFmtId="166" fontId="18" fillId="41" borderId="0" xfId="0" applyNumberFormat="1" applyFont="1" applyFill="1" applyBorder="1"/>
    <xf numFmtId="0" fontId="15" fillId="41" borderId="0" xfId="0" applyFont="1" applyFill="1" applyBorder="1"/>
    <xf numFmtId="0" fontId="13" fillId="11" borderId="0" xfId="0" applyFont="1" applyFill="1" applyBorder="1" applyAlignment="1">
      <alignment horizontal="right"/>
    </xf>
    <xf numFmtId="0" fontId="13" fillId="41" borderId="0" xfId="0" applyFont="1" applyFill="1"/>
    <xf numFmtId="0" fontId="0" fillId="41" borderId="0" xfId="0" applyFill="1"/>
    <xf numFmtId="0" fontId="25" fillId="41" borderId="0" xfId="4" applyFont="1" applyFill="1"/>
    <xf numFmtId="0" fontId="66" fillId="0" borderId="0" xfId="4" applyFont="1" applyProtection="1"/>
    <xf numFmtId="0" fontId="66" fillId="0" borderId="0" xfId="4" applyFont="1"/>
    <xf numFmtId="0" fontId="25" fillId="0" borderId="0" xfId="4" applyFont="1" applyFill="1" applyBorder="1" applyProtection="1"/>
    <xf numFmtId="0" fontId="13" fillId="43" borderId="0" xfId="0" applyFont="1" applyFill="1"/>
    <xf numFmtId="0" fontId="0" fillId="43" borderId="0" xfId="0" applyFill="1"/>
    <xf numFmtId="0" fontId="0" fillId="43" borderId="0" xfId="0" applyFill="1" applyBorder="1"/>
    <xf numFmtId="166" fontId="0" fillId="43" borderId="0" xfId="0" applyNumberFormat="1" applyFill="1" applyBorder="1"/>
    <xf numFmtId="0" fontId="17" fillId="43" borderId="0" xfId="0" applyFont="1" applyFill="1" applyBorder="1"/>
    <xf numFmtId="164" fontId="17" fillId="43" borderId="0" xfId="0" applyNumberFormat="1" applyFont="1" applyFill="1" applyBorder="1"/>
    <xf numFmtId="3" fontId="18" fillId="43" borderId="0" xfId="0" applyNumberFormat="1" applyFont="1" applyFill="1" applyBorder="1" applyAlignment="1">
      <alignment horizontal="center"/>
    </xf>
    <xf numFmtId="3" fontId="17" fillId="43" borderId="0" xfId="0" applyNumberFormat="1" applyFont="1" applyFill="1" applyBorder="1"/>
    <xf numFmtId="3" fontId="17" fillId="43" borderId="0" xfId="0" applyNumberFormat="1" applyFont="1" applyFill="1" applyBorder="1" applyAlignment="1">
      <alignment horizontal="center"/>
    </xf>
    <xf numFmtId="165" fontId="17" fillId="43" borderId="0" xfId="0" applyNumberFormat="1" applyFont="1" applyFill="1" applyBorder="1" applyAlignment="1"/>
    <xf numFmtId="166" fontId="17" fillId="43" borderId="0" xfId="0" applyNumberFormat="1" applyFont="1" applyFill="1" applyBorder="1"/>
    <xf numFmtId="3" fontId="17" fillId="43" borderId="0" xfId="0" applyNumberFormat="1" applyFont="1" applyFill="1" applyBorder="1" applyAlignment="1"/>
    <xf numFmtId="0" fontId="26" fillId="43" borderId="0" xfId="0" applyFont="1" applyFill="1" applyBorder="1" applyAlignment="1">
      <alignment wrapText="1"/>
    </xf>
    <xf numFmtId="3" fontId="26" fillId="43" borderId="0" xfId="0" applyNumberFormat="1" applyFont="1" applyFill="1" applyBorder="1" applyAlignment="1">
      <alignment wrapText="1"/>
    </xf>
    <xf numFmtId="3" fontId="26" fillId="43" borderId="0" xfId="0" applyNumberFormat="1" applyFont="1" applyFill="1" applyBorder="1" applyAlignment="1">
      <alignment horizontal="center" wrapText="1"/>
    </xf>
    <xf numFmtId="165" fontId="26" fillId="43" borderId="0" xfId="0" applyNumberFormat="1" applyFont="1" applyFill="1" applyBorder="1" applyAlignment="1">
      <alignment wrapText="1"/>
    </xf>
    <xf numFmtId="0" fontId="20" fillId="43" borderId="0" xfId="0" quotePrefix="1" applyFont="1" applyFill="1" applyBorder="1"/>
    <xf numFmtId="0" fontId="20" fillId="43" borderId="0" xfId="0" applyFont="1" applyFill="1" applyBorder="1"/>
    <xf numFmtId="0" fontId="77" fillId="43" borderId="0" xfId="0" applyFont="1" applyFill="1" applyBorder="1"/>
    <xf numFmtId="0" fontId="0" fillId="4" borderId="0" xfId="0" applyFill="1" applyBorder="1" applyAlignment="1">
      <alignment horizontal="left" vertical="center"/>
    </xf>
    <xf numFmtId="166" fontId="0" fillId="4" borderId="0" xfId="0" applyNumberFormat="1" applyFill="1" applyBorder="1" applyAlignment="1">
      <alignment horizontal="left" vertical="center"/>
    </xf>
    <xf numFmtId="0" fontId="13" fillId="4" borderId="0" xfId="0" applyFont="1" applyFill="1" applyBorder="1" applyAlignment="1">
      <alignment horizontal="left" vertical="center"/>
    </xf>
    <xf numFmtId="0" fontId="17" fillId="3" borderId="0" xfId="0" applyFont="1" applyFill="1" applyBorder="1" applyAlignment="1">
      <alignment horizontal="left" vertical="center"/>
    </xf>
    <xf numFmtId="3" fontId="17" fillId="3" borderId="0" xfId="0" applyNumberFormat="1" applyFont="1" applyFill="1" applyBorder="1" applyAlignment="1">
      <alignment horizontal="left" vertical="center"/>
    </xf>
    <xf numFmtId="165" fontId="17" fillId="3" borderId="0" xfId="0" applyNumberFormat="1" applyFont="1" applyFill="1" applyBorder="1" applyAlignment="1">
      <alignment horizontal="left" vertical="center"/>
    </xf>
    <xf numFmtId="44" fontId="17" fillId="3" borderId="0" xfId="1" applyFont="1" applyFill="1" applyBorder="1" applyAlignment="1">
      <alignment horizontal="left" vertical="center"/>
    </xf>
    <xf numFmtId="10" fontId="17" fillId="3" borderId="0" xfId="2" applyNumberFormat="1" applyFont="1" applyFill="1" applyBorder="1" applyAlignment="1">
      <alignment horizontal="left" vertical="center"/>
    </xf>
    <xf numFmtId="0" fontId="154" fillId="4" borderId="0" xfId="0" applyFont="1" applyFill="1" applyBorder="1" applyAlignment="1">
      <alignment horizontal="left" vertical="center"/>
    </xf>
    <xf numFmtId="164" fontId="155" fillId="4" borderId="0" xfId="0" applyNumberFormat="1" applyFont="1" applyFill="1" applyBorder="1" applyAlignment="1">
      <alignment horizontal="left" vertical="center"/>
    </xf>
    <xf numFmtId="3" fontId="155" fillId="4" borderId="0" xfId="0" applyNumberFormat="1" applyFont="1" applyFill="1" applyBorder="1" applyAlignment="1">
      <alignment horizontal="left" vertical="center"/>
    </xf>
    <xf numFmtId="3" fontId="154" fillId="4" borderId="0" xfId="0" applyNumberFormat="1" applyFont="1" applyFill="1" applyBorder="1" applyAlignment="1">
      <alignment horizontal="left" vertical="center"/>
    </xf>
    <xf numFmtId="4" fontId="154" fillId="4" borderId="0" xfId="0" applyNumberFormat="1" applyFont="1" applyFill="1" applyBorder="1" applyAlignment="1">
      <alignment horizontal="left" vertical="center"/>
    </xf>
    <xf numFmtId="44" fontId="154" fillId="4" borderId="0" xfId="1" applyFont="1" applyFill="1" applyBorder="1" applyAlignment="1">
      <alignment horizontal="left" vertical="center"/>
    </xf>
    <xf numFmtId="0" fontId="154" fillId="4" borderId="0" xfId="2" applyNumberFormat="1" applyFont="1" applyFill="1" applyBorder="1" applyAlignment="1">
      <alignment horizontal="left" vertical="center"/>
    </xf>
    <xf numFmtId="0" fontId="156" fillId="4" borderId="0" xfId="0" applyFont="1" applyFill="1" applyBorder="1" applyAlignment="1">
      <alignment horizontal="left" vertical="center"/>
    </xf>
    <xf numFmtId="166" fontId="156" fillId="4" borderId="0" xfId="0" applyNumberFormat="1" applyFont="1" applyFill="1" applyBorder="1" applyAlignment="1">
      <alignment horizontal="left" vertical="center"/>
    </xf>
    <xf numFmtId="0" fontId="157" fillId="3" borderId="0" xfId="0" applyFont="1" applyFill="1" applyBorder="1" applyAlignment="1">
      <alignment horizontal="left" vertical="center"/>
    </xf>
    <xf numFmtId="166" fontId="158" fillId="3" borderId="0" xfId="0" applyNumberFormat="1" applyFont="1" applyFill="1" applyBorder="1" applyAlignment="1">
      <alignment horizontal="left" vertical="center"/>
    </xf>
    <xf numFmtId="0" fontId="13" fillId="3" borderId="0" xfId="0" applyFont="1" applyFill="1" applyBorder="1"/>
    <xf numFmtId="0" fontId="0" fillId="3" borderId="0" xfId="0" applyFill="1" applyBorder="1"/>
    <xf numFmtId="0" fontId="17" fillId="44" borderId="0" xfId="0" applyFont="1" applyFill="1" applyBorder="1"/>
    <xf numFmtId="0" fontId="13" fillId="4" borderId="0" xfId="0" applyFont="1" applyFill="1"/>
    <xf numFmtId="0" fontId="25" fillId="43" borderId="0" xfId="4" applyFont="1" applyFill="1"/>
    <xf numFmtId="0" fontId="13" fillId="37" borderId="0" xfId="0" applyFont="1" applyFill="1" applyAlignment="1"/>
    <xf numFmtId="0" fontId="20" fillId="0" borderId="0" xfId="0" applyFont="1" applyFill="1" applyBorder="1"/>
    <xf numFmtId="4" fontId="22" fillId="22" borderId="0" xfId="0" applyNumberFormat="1" applyFont="1" applyFill="1" applyBorder="1"/>
    <xf numFmtId="0" fontId="13" fillId="22" borderId="0" xfId="0" applyFont="1" applyFill="1"/>
    <xf numFmtId="0" fontId="0" fillId="44" borderId="0" xfId="0" applyFill="1" applyBorder="1"/>
    <xf numFmtId="0" fontId="13" fillId="44" borderId="0" xfId="0" applyFont="1" applyFill="1" applyBorder="1"/>
    <xf numFmtId="2" fontId="22" fillId="41" borderId="0" xfId="0" applyNumberFormat="1" applyFont="1" applyFill="1" applyBorder="1"/>
    <xf numFmtId="0" fontId="17" fillId="0" borderId="0" xfId="4" applyFont="1" applyFill="1" applyBorder="1"/>
    <xf numFmtId="164" fontId="17" fillId="0" borderId="0" xfId="4" applyNumberFormat="1" applyFont="1" applyFill="1" applyBorder="1"/>
    <xf numFmtId="3" fontId="18" fillId="0" borderId="0" xfId="4" applyNumberFormat="1" applyFont="1" applyFill="1" applyBorder="1" applyAlignment="1">
      <alignment horizontal="center"/>
    </xf>
    <xf numFmtId="2" fontId="0" fillId="27" borderId="0" xfId="0" applyNumberFormat="1" applyFill="1" applyBorder="1"/>
    <xf numFmtId="2" fontId="22" fillId="27" borderId="0" xfId="0" applyNumberFormat="1" applyFont="1" applyFill="1" applyBorder="1"/>
    <xf numFmtId="2" fontId="13" fillId="27" borderId="0" xfId="0" applyNumberFormat="1" applyFont="1" applyFill="1" applyBorder="1"/>
    <xf numFmtId="0" fontId="22" fillId="41" borderId="0" xfId="0" applyFont="1" applyFill="1" applyBorder="1" applyAlignment="1">
      <alignment horizontal="left" vertical="center"/>
    </xf>
    <xf numFmtId="0" fontId="23" fillId="41" borderId="0" xfId="0" applyFont="1" applyFill="1" applyBorder="1" applyAlignment="1">
      <alignment horizontal="left" vertical="center"/>
    </xf>
    <xf numFmtId="0" fontId="20" fillId="0" borderId="0" xfId="0" applyFont="1" applyFill="1" applyBorder="1" applyAlignment="1">
      <alignment wrapText="1"/>
    </xf>
    <xf numFmtId="0" fontId="13" fillId="20" borderId="0" xfId="0" applyFont="1" applyFill="1"/>
    <xf numFmtId="0" fontId="0" fillId="31" borderId="0" xfId="0" applyFill="1" applyAlignment="1"/>
    <xf numFmtId="0" fontId="62" fillId="31" borderId="92" xfId="8" applyFont="1" applyFill="1" applyBorder="1" applyAlignment="1" applyProtection="1">
      <protection locked="0"/>
    </xf>
    <xf numFmtId="0" fontId="0" fillId="5" borderId="0" xfId="0" applyFill="1"/>
    <xf numFmtId="0" fontId="160" fillId="31" borderId="92" xfId="8" quotePrefix="1" applyFont="1" applyFill="1" applyBorder="1" applyAlignment="1" applyProtection="1">
      <protection locked="0"/>
    </xf>
    <xf numFmtId="0" fontId="159" fillId="4" borderId="0" xfId="8" applyFont="1" applyFill="1" applyBorder="1" applyAlignment="1" applyProtection="1">
      <alignment horizontal="left" vertical="center"/>
      <protection locked="0"/>
    </xf>
    <xf numFmtId="0" fontId="0" fillId="5" borderId="0" xfId="0" applyFill="1" applyProtection="1"/>
    <xf numFmtId="0" fontId="36" fillId="16" borderId="0" xfId="0" applyFont="1" applyFill="1" applyBorder="1" applyAlignment="1">
      <alignment horizontal="center" vertical="center"/>
    </xf>
    <xf numFmtId="0" fontId="41" fillId="16" borderId="0" xfId="0" applyFont="1" applyFill="1" applyBorder="1" applyAlignment="1">
      <alignment horizontal="center" vertical="center"/>
    </xf>
    <xf numFmtId="0" fontId="13" fillId="0" borderId="0" xfId="0" applyFont="1" applyFill="1" applyBorder="1" applyAlignment="1">
      <alignment horizontal="left" vertical="center"/>
    </xf>
    <xf numFmtId="0" fontId="0" fillId="16" borderId="0" xfId="0" applyFill="1" applyBorder="1" applyAlignment="1"/>
    <xf numFmtId="0" fontId="0" fillId="16" borderId="0" xfId="0" applyFill="1" applyBorder="1" applyAlignment="1">
      <alignment horizontal="left"/>
    </xf>
    <xf numFmtId="0" fontId="36" fillId="16" borderId="214" xfId="0" applyFont="1" applyFill="1" applyBorder="1" applyAlignment="1">
      <alignment horizontal="center" vertical="center"/>
    </xf>
    <xf numFmtId="0" fontId="41" fillId="16" borderId="214" xfId="0" applyFont="1" applyFill="1" applyBorder="1" applyAlignment="1">
      <alignment horizontal="center" vertical="center"/>
    </xf>
    <xf numFmtId="0" fontId="0" fillId="16" borderId="214" xfId="0" applyFill="1" applyBorder="1" applyAlignment="1"/>
    <xf numFmtId="0" fontId="66" fillId="16" borderId="0" xfId="0" applyFont="1" applyFill="1" applyBorder="1" applyAlignment="1">
      <alignment horizontal="right"/>
    </xf>
    <xf numFmtId="0" fontId="66" fillId="16" borderId="214" xfId="0" applyFont="1" applyFill="1" applyBorder="1" applyAlignment="1">
      <alignment horizontal="right"/>
    </xf>
    <xf numFmtId="166" fontId="165" fillId="5" borderId="0" xfId="0" applyNumberFormat="1" applyFont="1" applyFill="1" applyBorder="1" applyAlignment="1" applyProtection="1">
      <alignment horizontal="center"/>
      <protection locked="0"/>
    </xf>
    <xf numFmtId="0" fontId="162" fillId="16" borderId="0" xfId="0" applyFont="1" applyFill="1" applyBorder="1"/>
    <xf numFmtId="0" fontId="166" fillId="16" borderId="0" xfId="0" applyFont="1" applyFill="1" applyBorder="1"/>
    <xf numFmtId="0" fontId="162" fillId="0" borderId="0" xfId="0" applyFont="1" applyFill="1" applyBorder="1"/>
    <xf numFmtId="0" fontId="162" fillId="0" borderId="0" xfId="0" applyFont="1" applyFill="1" applyBorder="1" applyAlignment="1">
      <alignment wrapText="1"/>
    </xf>
    <xf numFmtId="0" fontId="167" fillId="0" borderId="0" xfId="0" applyFont="1" applyBorder="1"/>
    <xf numFmtId="0" fontId="167" fillId="20" borderId="0" xfId="0" applyFont="1" applyFill="1" applyBorder="1"/>
    <xf numFmtId="0" fontId="162" fillId="20" borderId="0" xfId="0" applyFont="1" applyFill="1"/>
    <xf numFmtId="0" fontId="162" fillId="20" borderId="0" xfId="0" applyFont="1" applyFill="1" applyBorder="1"/>
    <xf numFmtId="0" fontId="162" fillId="0" borderId="0" xfId="0" applyFont="1"/>
    <xf numFmtId="0" fontId="167" fillId="0" borderId="0" xfId="0" applyFont="1" applyBorder="1" applyAlignment="1">
      <alignment wrapText="1"/>
    </xf>
    <xf numFmtId="0" fontId="166" fillId="20" borderId="0" xfId="0" applyFont="1" applyFill="1" applyBorder="1"/>
    <xf numFmtId="0" fontId="163" fillId="16" borderId="214" xfId="0" applyFont="1" applyFill="1" applyBorder="1" applyAlignment="1">
      <alignment horizontal="center" vertical="center"/>
    </xf>
    <xf numFmtId="0" fontId="66" fillId="16" borderId="0" xfId="0" applyFont="1" applyFill="1" applyBorder="1" applyAlignment="1">
      <alignment horizontal="right" vertical="center"/>
    </xf>
    <xf numFmtId="166" fontId="16" fillId="5" borderId="214" xfId="0" applyNumberFormat="1" applyFont="1" applyFill="1" applyBorder="1" applyAlignment="1"/>
    <xf numFmtId="166" fontId="164" fillId="5" borderId="0" xfId="0" applyNumberFormat="1" applyFont="1" applyFill="1" applyBorder="1" applyAlignment="1">
      <alignment horizontal="right" vertical="center"/>
    </xf>
    <xf numFmtId="0" fontId="0" fillId="31" borderId="92" xfId="0" applyFill="1" applyBorder="1" applyAlignment="1"/>
    <xf numFmtId="0" fontId="0" fillId="0" borderId="0" xfId="0" applyAlignment="1"/>
    <xf numFmtId="0" fontId="112" fillId="31" borderId="0" xfId="0" applyFont="1" applyFill="1" applyAlignment="1">
      <alignment horizontal="center"/>
    </xf>
    <xf numFmtId="0" fontId="112" fillId="0" borderId="0" xfId="0" applyFont="1" applyAlignment="1">
      <alignment horizontal="center"/>
    </xf>
    <xf numFmtId="0" fontId="111" fillId="31" borderId="90" xfId="0" applyFont="1" applyFill="1" applyBorder="1" applyAlignment="1">
      <alignment horizontal="left" vertical="center"/>
    </xf>
    <xf numFmtId="0" fontId="111" fillId="0" borderId="91" xfId="0" applyFont="1" applyBorder="1" applyAlignment="1">
      <alignment horizontal="left" vertical="center"/>
    </xf>
    <xf numFmtId="0" fontId="0" fillId="31" borderId="0" xfId="0" applyFill="1" applyAlignment="1"/>
    <xf numFmtId="0" fontId="20" fillId="31" borderId="0" xfId="0" applyFont="1" applyFill="1" applyAlignment="1">
      <alignment horizontal="right"/>
    </xf>
    <xf numFmtId="0" fontId="62" fillId="31" borderId="92" xfId="8" applyFont="1" applyFill="1" applyBorder="1" applyAlignment="1" applyProtection="1">
      <protection locked="0"/>
    </xf>
    <xf numFmtId="0" fontId="62" fillId="0" borderId="0" xfId="8" applyFont="1" applyAlignment="1" applyProtection="1">
      <protection locked="0"/>
    </xf>
    <xf numFmtId="166" fontId="151" fillId="14" borderId="207" xfId="1" applyNumberFormat="1" applyFont="1" applyFill="1" applyBorder="1" applyAlignment="1">
      <alignment horizontal="left" vertical="center"/>
    </xf>
    <xf numFmtId="0" fontId="152" fillId="0" borderId="209" xfId="0" applyFont="1" applyBorder="1" applyAlignment="1"/>
    <xf numFmtId="166" fontId="14" fillId="4" borderId="208" xfId="0" applyNumberFormat="1" applyFont="1" applyFill="1" applyBorder="1" applyAlignment="1">
      <alignment horizontal="left" vertical="center"/>
    </xf>
    <xf numFmtId="0" fontId="0" fillId="4" borderId="44" xfId="0" applyFill="1" applyBorder="1" applyAlignment="1">
      <alignment horizontal="left" vertical="center"/>
    </xf>
    <xf numFmtId="166" fontId="54" fillId="4" borderId="210" xfId="0" applyNumberFormat="1" applyFont="1" applyFill="1" applyBorder="1" applyAlignment="1">
      <alignment horizontal="left" vertical="center" wrapText="1"/>
    </xf>
    <xf numFmtId="0" fontId="54" fillId="4" borderId="24" xfId="0" applyFont="1" applyFill="1" applyBorder="1" applyAlignment="1">
      <alignment horizontal="left" vertical="center" wrapText="1"/>
    </xf>
    <xf numFmtId="0" fontId="54" fillId="4" borderId="44" xfId="0" applyFont="1" applyFill="1" applyBorder="1" applyAlignment="1">
      <alignment horizontal="left" vertical="center" wrapText="1"/>
    </xf>
    <xf numFmtId="0" fontId="0" fillId="0" borderId="44" xfId="0" applyBorder="1" applyAlignment="1">
      <alignment horizontal="left" vertical="center"/>
    </xf>
    <xf numFmtId="0" fontId="64" fillId="4" borderId="16" xfId="0" applyFont="1" applyFill="1" applyBorder="1" applyAlignment="1">
      <alignment horizontal="left" vertical="center"/>
    </xf>
    <xf numFmtId="0" fontId="0" fillId="0" borderId="16" xfId="0" applyBorder="1" applyAlignment="1">
      <alignment horizontal="left" vertical="center"/>
    </xf>
    <xf numFmtId="166" fontId="39" fillId="0" borderId="2" xfId="1" applyNumberFormat="1" applyFont="1" applyFill="1" applyBorder="1" applyAlignment="1">
      <alignment horizontal="left" vertical="center"/>
    </xf>
    <xf numFmtId="0" fontId="0" fillId="0" borderId="4" xfId="0" applyBorder="1" applyAlignment="1"/>
    <xf numFmtId="166" fontId="39" fillId="0" borderId="199" xfId="1" applyNumberFormat="1" applyFont="1" applyFill="1" applyBorder="1" applyAlignment="1">
      <alignment horizontal="left" vertical="center"/>
    </xf>
    <xf numFmtId="0" fontId="0" fillId="0" borderId="206" xfId="0" applyBorder="1" applyAlignment="1"/>
    <xf numFmtId="0" fontId="0" fillId="0" borderId="3" xfId="0" applyBorder="1" applyAlignment="1"/>
    <xf numFmtId="0" fontId="23" fillId="21" borderId="0" xfId="0" applyFont="1" applyFill="1" applyBorder="1" applyAlignment="1">
      <alignment horizontal="left" vertical="center" wrapText="1"/>
    </xf>
    <xf numFmtId="0" fontId="22" fillId="21" borderId="0" xfId="0" applyFont="1" applyFill="1" applyAlignment="1">
      <alignment horizontal="left" vertical="center"/>
    </xf>
    <xf numFmtId="0" fontId="22" fillId="21" borderId="9" xfId="0" applyFont="1" applyFill="1" applyBorder="1" applyAlignment="1">
      <alignment horizontal="left" vertical="center"/>
    </xf>
    <xf numFmtId="0" fontId="23" fillId="21" borderId="0" xfId="0" applyFont="1" applyFill="1" applyBorder="1" applyAlignment="1">
      <alignment vertical="center" wrapText="1"/>
    </xf>
    <xf numFmtId="0" fontId="22" fillId="21" borderId="0" xfId="0" applyFont="1" applyFill="1" applyAlignment="1">
      <alignment vertical="center"/>
    </xf>
    <xf numFmtId="0" fontId="22" fillId="21" borderId="9" xfId="0" applyFont="1" applyFill="1" applyBorder="1" applyAlignment="1">
      <alignment vertical="center"/>
    </xf>
    <xf numFmtId="0" fontId="24" fillId="4" borderId="0" xfId="0" applyFont="1" applyFill="1" applyBorder="1" applyAlignment="1">
      <alignment horizontal="right" vertical="center"/>
    </xf>
    <xf numFmtId="0" fontId="27" fillId="0" borderId="6" xfId="0" applyFont="1" applyFill="1" applyBorder="1" applyAlignment="1" applyProtection="1">
      <alignment vertical="center"/>
      <protection locked="0"/>
    </xf>
    <xf numFmtId="0" fontId="27" fillId="0" borderId="8" xfId="0" applyFont="1" applyFill="1" applyBorder="1" applyAlignment="1" applyProtection="1">
      <alignment vertical="center"/>
      <protection locked="0"/>
    </xf>
    <xf numFmtId="0" fontId="22" fillId="4" borderId="0" xfId="0" applyFont="1" applyFill="1" applyBorder="1" applyAlignment="1">
      <alignment vertical="center"/>
    </xf>
    <xf numFmtId="0" fontId="143" fillId="4" borderId="25" xfId="0" applyFont="1" applyFill="1" applyBorder="1" applyAlignment="1">
      <alignment vertical="center"/>
    </xf>
    <xf numFmtId="0" fontId="143" fillId="4" borderId="0" xfId="0" applyFont="1" applyFill="1" applyBorder="1" applyAlignment="1">
      <alignment vertical="center"/>
    </xf>
    <xf numFmtId="0" fontId="25" fillId="4" borderId="25" xfId="0" applyFont="1" applyFill="1" applyBorder="1" applyAlignment="1" applyProtection="1">
      <alignment vertical="center"/>
      <protection locked="0"/>
    </xf>
    <xf numFmtId="0" fontId="25" fillId="4" borderId="0" xfId="0" applyFont="1" applyFill="1" applyBorder="1" applyAlignment="1" applyProtection="1">
      <alignment vertical="center"/>
      <protection locked="0"/>
    </xf>
    <xf numFmtId="0" fontId="0" fillId="4" borderId="0" xfId="0" applyFill="1" applyBorder="1" applyAlignment="1">
      <alignment vertical="center"/>
    </xf>
    <xf numFmtId="0" fontId="149" fillId="14" borderId="0" xfId="4" applyFont="1" applyFill="1" applyBorder="1" applyAlignment="1">
      <alignment horizontal="center" vertical="center" wrapText="1"/>
    </xf>
    <xf numFmtId="0" fontId="36" fillId="16" borderId="0" xfId="0" applyFont="1" applyFill="1" applyBorder="1" applyAlignment="1">
      <alignment horizontal="center" vertical="center"/>
    </xf>
    <xf numFmtId="0" fontId="41" fillId="16" borderId="0" xfId="0" applyFont="1" applyFill="1" applyBorder="1" applyAlignment="1">
      <alignment horizontal="center" vertical="center"/>
    </xf>
    <xf numFmtId="0" fontId="72" fillId="6" borderId="0" xfId="0" applyFont="1" applyFill="1" applyAlignment="1" applyProtection="1">
      <alignment horizontal="right" vertical="center" wrapText="1"/>
    </xf>
    <xf numFmtId="0" fontId="0" fillId="0" borderId="0" xfId="0" applyAlignment="1">
      <alignment horizontal="right" vertical="center"/>
    </xf>
    <xf numFmtId="0" fontId="44" fillId="0" borderId="6" xfId="0" applyFont="1" applyFill="1" applyBorder="1" applyAlignment="1" applyProtection="1">
      <alignment vertical="center" wrapText="1"/>
      <protection locked="0"/>
    </xf>
    <xf numFmtId="0" fontId="45" fillId="0" borderId="7" xfId="0" applyFont="1" applyFill="1" applyBorder="1" applyAlignment="1" applyProtection="1">
      <alignment vertical="center" wrapText="1"/>
      <protection locked="0"/>
    </xf>
    <xf numFmtId="0" fontId="45" fillId="0" borderId="8" xfId="0" applyFont="1" applyFill="1" applyBorder="1" applyAlignment="1" applyProtection="1">
      <alignment vertical="center" wrapText="1"/>
      <protection locked="0"/>
    </xf>
    <xf numFmtId="0" fontId="24" fillId="4" borderId="0" xfId="0" applyFont="1" applyFill="1" applyBorder="1" applyAlignment="1">
      <alignment horizontal="left" vertical="center"/>
    </xf>
    <xf numFmtId="166" fontId="27" fillId="0" borderId="6" xfId="0" applyNumberFormat="1" applyFont="1" applyFill="1" applyBorder="1" applyAlignment="1" applyProtection="1">
      <alignment horizontal="left" vertical="center"/>
      <protection locked="0"/>
    </xf>
    <xf numFmtId="0" fontId="25" fillId="0" borderId="7" xfId="0" applyFont="1" applyBorder="1" applyAlignment="1" applyProtection="1">
      <alignment horizontal="left" vertical="center"/>
      <protection locked="0"/>
    </xf>
    <xf numFmtId="0" fontId="149" fillId="14" borderId="0" xfId="0" applyFont="1" applyFill="1" applyBorder="1" applyAlignment="1">
      <alignment horizontal="center" vertical="center"/>
    </xf>
    <xf numFmtId="0" fontId="149" fillId="14" borderId="0" xfId="0" applyFont="1" applyFill="1" applyAlignment="1">
      <alignment horizontal="center" vertical="center"/>
    </xf>
    <xf numFmtId="0" fontId="0" fillId="4" borderId="25" xfId="0" applyFill="1" applyBorder="1" applyAlignment="1"/>
    <xf numFmtId="0" fontId="0" fillId="4" borderId="0" xfId="0" applyFill="1" applyAlignment="1"/>
    <xf numFmtId="0" fontId="0" fillId="0" borderId="0" xfId="0" applyAlignment="1">
      <alignment horizontal="left" vertical="center"/>
    </xf>
    <xf numFmtId="0" fontId="57" fillId="4" borderId="0" xfId="0" applyFont="1" applyFill="1" applyBorder="1" applyAlignment="1">
      <alignment horizontal="right" vertical="center" wrapText="1"/>
    </xf>
    <xf numFmtId="0" fontId="145" fillId="10" borderId="25" xfId="0" applyFont="1" applyFill="1" applyBorder="1" applyAlignment="1">
      <alignment horizontal="right" vertical="center" wrapText="1"/>
    </xf>
    <xf numFmtId="0" fontId="145" fillId="10" borderId="0" xfId="0" applyFont="1" applyFill="1" applyBorder="1" applyAlignment="1">
      <alignment horizontal="right" vertical="center" wrapText="1"/>
    </xf>
    <xf numFmtId="0" fontId="145" fillId="10" borderId="200" xfId="0" applyFont="1" applyFill="1" applyBorder="1" applyAlignment="1">
      <alignment horizontal="right" vertical="center" wrapText="1"/>
    </xf>
    <xf numFmtId="0" fontId="38" fillId="4" borderId="0" xfId="0" applyFont="1" applyFill="1" applyBorder="1" applyAlignment="1">
      <alignment horizontal="left" vertical="center"/>
    </xf>
    <xf numFmtId="0" fontId="0" fillId="4" borderId="0" xfId="0" applyFill="1" applyAlignment="1">
      <alignment vertical="center"/>
    </xf>
    <xf numFmtId="0" fontId="24" fillId="4" borderId="0" xfId="0" applyFont="1" applyFill="1" applyBorder="1" applyAlignment="1">
      <alignment vertical="center"/>
    </xf>
    <xf numFmtId="0" fontId="0" fillId="4" borderId="0" xfId="0" applyFill="1" applyBorder="1" applyAlignment="1"/>
    <xf numFmtId="0" fontId="86" fillId="10" borderId="25" xfId="0" applyFont="1" applyFill="1" applyBorder="1" applyAlignment="1">
      <alignment horizontal="right" vertical="center"/>
    </xf>
    <xf numFmtId="0" fontId="86" fillId="10" borderId="0" xfId="0" applyFont="1" applyFill="1" applyBorder="1" applyAlignment="1">
      <alignment horizontal="right" vertical="center"/>
    </xf>
    <xf numFmtId="0" fontId="86" fillId="10" borderId="200" xfId="0" applyFont="1" applyFill="1" applyBorder="1" applyAlignment="1">
      <alignment horizontal="right" vertical="center"/>
    </xf>
    <xf numFmtId="0" fontId="57" fillId="8" borderId="25" xfId="0" applyFont="1" applyFill="1" applyBorder="1" applyAlignment="1">
      <alignment horizontal="right" vertical="center"/>
    </xf>
    <xf numFmtId="0" fontId="0" fillId="0" borderId="0" xfId="0" applyAlignment="1">
      <alignment vertical="center"/>
    </xf>
    <xf numFmtId="0" fontId="0" fillId="0" borderId="0" xfId="0" applyBorder="1" applyAlignment="1">
      <alignment vertical="center"/>
    </xf>
    <xf numFmtId="0" fontId="60" fillId="4" borderId="0" xfId="0" applyFont="1" applyFill="1" applyBorder="1" applyAlignment="1">
      <alignment horizontal="center" vertical="center"/>
    </xf>
    <xf numFmtId="4" fontId="22" fillId="0" borderId="0" xfId="1" applyNumberFormat="1" applyFont="1" applyFill="1" applyBorder="1" applyAlignment="1">
      <alignment horizontal="left" vertical="center"/>
    </xf>
    <xf numFmtId="4" fontId="22" fillId="0" borderId="0" xfId="0" applyNumberFormat="1" applyFont="1" applyFill="1" applyBorder="1" applyAlignment="1">
      <alignment horizontal="left" vertical="center"/>
    </xf>
    <xf numFmtId="4" fontId="0" fillId="0" borderId="0" xfId="0" applyNumberFormat="1" applyFill="1" applyBorder="1" applyAlignment="1">
      <alignment horizontal="left" vertical="center"/>
    </xf>
    <xf numFmtId="4" fontId="0" fillId="0" borderId="0" xfId="0" applyNumberFormat="1" applyFill="1" applyBorder="1" applyAlignment="1">
      <alignment vertical="center"/>
    </xf>
    <xf numFmtId="0" fontId="36" fillId="4" borderId="0" xfId="0" applyFont="1" applyFill="1" applyBorder="1" applyAlignment="1">
      <alignment horizontal="center" vertical="center"/>
    </xf>
    <xf numFmtId="0" fontId="41" fillId="4" borderId="0" xfId="0" applyFont="1" applyFill="1" applyBorder="1" applyAlignment="1">
      <alignment horizontal="center" vertical="center"/>
    </xf>
    <xf numFmtId="166" fontId="164" fillId="16" borderId="213" xfId="0" applyNumberFormat="1" applyFont="1" applyFill="1" applyBorder="1" applyAlignment="1" applyProtection="1">
      <alignment horizontal="right" vertical="center"/>
    </xf>
    <xf numFmtId="0" fontId="13" fillId="11" borderId="0" xfId="0" applyFont="1" applyFill="1" applyBorder="1" applyAlignment="1">
      <alignment horizontal="left" vertical="center"/>
    </xf>
    <xf numFmtId="0" fontId="57" fillId="21" borderId="0" xfId="0" applyFont="1" applyFill="1" applyBorder="1" applyAlignment="1">
      <alignment horizontal="left" vertical="center" wrapText="1"/>
    </xf>
    <xf numFmtId="0" fontId="57" fillId="21" borderId="0" xfId="0" applyFont="1" applyFill="1" applyAlignment="1">
      <alignment horizontal="left" vertical="center"/>
    </xf>
    <xf numFmtId="0" fontId="57" fillId="21" borderId="9" xfId="0" applyFont="1" applyFill="1" applyBorder="1" applyAlignment="1">
      <alignment horizontal="left" vertical="center"/>
    </xf>
    <xf numFmtId="7" fontId="54" fillId="4" borderId="24" xfId="0" applyNumberFormat="1" applyFont="1" applyFill="1" applyBorder="1" applyAlignment="1">
      <alignment horizontal="left" vertical="center" wrapText="1"/>
    </xf>
    <xf numFmtId="0" fontId="0" fillId="0" borderId="24" xfId="0" applyBorder="1" applyAlignment="1">
      <alignment horizontal="left" vertical="center"/>
    </xf>
    <xf numFmtId="0" fontId="65" fillId="4" borderId="10" xfId="0" applyFont="1" applyFill="1" applyBorder="1" applyAlignment="1">
      <alignment horizontal="left" vertical="center" wrapText="1"/>
    </xf>
    <xf numFmtId="0" fontId="0" fillId="0" borderId="10" xfId="0" applyBorder="1" applyAlignment="1">
      <alignment horizontal="left" vertical="center"/>
    </xf>
    <xf numFmtId="0" fontId="148" fillId="40" borderId="203" xfId="0" applyFont="1" applyFill="1" applyBorder="1" applyAlignment="1">
      <alignment horizontal="left" vertical="center" wrapText="1"/>
    </xf>
    <xf numFmtId="0" fontId="148" fillId="40" borderId="0" xfId="0" applyFont="1" applyFill="1" applyBorder="1" applyAlignment="1">
      <alignment horizontal="left" vertical="center" wrapText="1"/>
    </xf>
    <xf numFmtId="0" fontId="147" fillId="23" borderId="0" xfId="0" applyFont="1" applyFill="1" applyBorder="1" applyAlignment="1">
      <alignment horizontal="center" vertical="center"/>
    </xf>
    <xf numFmtId="0" fontId="67" fillId="9" borderId="0" xfId="0" applyFont="1" applyFill="1" applyBorder="1" applyAlignment="1">
      <alignment horizontal="left" vertical="top" wrapText="1"/>
    </xf>
    <xf numFmtId="166" fontId="16" fillId="5" borderId="0" xfId="0" applyNumberFormat="1" applyFont="1" applyFill="1" applyBorder="1" applyAlignment="1" applyProtection="1"/>
    <xf numFmtId="166" fontId="16" fillId="5" borderId="0" xfId="0" applyNumberFormat="1" applyFont="1" applyFill="1" applyAlignment="1" applyProtection="1"/>
    <xf numFmtId="169" fontId="164" fillId="5" borderId="213" xfId="0" applyNumberFormat="1" applyFont="1" applyFill="1" applyBorder="1" applyAlignment="1" applyProtection="1">
      <alignment horizontal="right" vertical="center"/>
    </xf>
    <xf numFmtId="0" fontId="66" fillId="16" borderId="0" xfId="0" applyFont="1" applyFill="1" applyBorder="1" applyAlignment="1">
      <alignment horizontal="right"/>
    </xf>
    <xf numFmtId="0" fontId="168" fillId="16" borderId="0" xfId="0" applyFont="1" applyFill="1" applyBorder="1" applyAlignment="1">
      <alignment horizontal="center" vertical="center"/>
    </xf>
    <xf numFmtId="0" fontId="163" fillId="16" borderId="0" xfId="0" applyFont="1" applyFill="1" applyBorder="1" applyAlignment="1">
      <alignment horizontal="center" vertical="center"/>
    </xf>
    <xf numFmtId="0" fontId="13" fillId="14" borderId="28" xfId="0" applyFont="1" applyFill="1" applyBorder="1" applyAlignment="1" applyProtection="1">
      <alignment horizontal="left" vertical="top" wrapText="1"/>
    </xf>
    <xf numFmtId="0" fontId="0" fillId="14" borderId="0" xfId="0" applyFill="1" applyBorder="1" applyAlignment="1" applyProtection="1">
      <alignment horizontal="left" vertical="top" wrapText="1"/>
    </xf>
    <xf numFmtId="0" fontId="0" fillId="14" borderId="29" xfId="0" applyFill="1" applyBorder="1" applyAlignment="1" applyProtection="1">
      <alignment horizontal="left" vertical="top" wrapText="1"/>
    </xf>
    <xf numFmtId="0" fontId="16" fillId="19" borderId="0" xfId="0" applyFont="1" applyFill="1" applyBorder="1" applyAlignment="1" applyProtection="1">
      <alignment vertical="center" wrapText="1"/>
    </xf>
    <xf numFmtId="0" fontId="16" fillId="19" borderId="29" xfId="0" applyFont="1" applyFill="1" applyBorder="1" applyAlignment="1" applyProtection="1">
      <alignment vertical="center" wrapText="1"/>
    </xf>
    <xf numFmtId="0" fontId="16" fillId="19" borderId="41" xfId="0" applyFont="1" applyFill="1" applyBorder="1" applyAlignment="1" applyProtection="1">
      <alignment vertical="center"/>
    </xf>
    <xf numFmtId="0" fontId="16" fillId="19" borderId="42" xfId="0" applyFont="1" applyFill="1" applyBorder="1" applyAlignment="1" applyProtection="1">
      <alignment vertical="center"/>
    </xf>
    <xf numFmtId="0" fontId="16" fillId="19" borderId="43" xfId="0" applyFont="1" applyFill="1" applyBorder="1" applyAlignment="1" applyProtection="1">
      <alignment vertical="center"/>
    </xf>
    <xf numFmtId="0" fontId="17" fillId="0" borderId="18" xfId="0" applyFont="1" applyBorder="1" applyAlignment="1" applyProtection="1">
      <alignment horizontal="left" wrapText="1"/>
      <protection locked="0"/>
    </xf>
    <xf numFmtId="0" fontId="17" fillId="0" borderId="0" xfId="0" applyFont="1" applyBorder="1" applyAlignment="1" applyProtection="1">
      <alignment horizontal="left"/>
      <protection locked="0"/>
    </xf>
    <xf numFmtId="0" fontId="17" fillId="0" borderId="29" xfId="0" applyFont="1" applyBorder="1" applyAlignment="1" applyProtection="1">
      <alignment horizontal="left"/>
      <protection locked="0"/>
    </xf>
    <xf numFmtId="0" fontId="63" fillId="0" borderId="18"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29" xfId="0" applyBorder="1" applyAlignment="1" applyProtection="1">
      <alignment horizontal="left"/>
      <protection locked="0"/>
    </xf>
    <xf numFmtId="0" fontId="43" fillId="9" borderId="0" xfId="0" applyFont="1" applyFill="1" applyBorder="1" applyAlignment="1" applyProtection="1">
      <alignment horizontal="left" vertical="center" wrapText="1"/>
    </xf>
    <xf numFmtId="0" fontId="43" fillId="9" borderId="0" xfId="0" applyFont="1" applyFill="1" applyBorder="1" applyAlignment="1" applyProtection="1">
      <alignment horizontal="left" vertical="center"/>
    </xf>
    <xf numFmtId="0" fontId="43" fillId="9" borderId="29" xfId="0" applyFont="1" applyFill="1" applyBorder="1" applyAlignment="1" applyProtection="1">
      <alignment horizontal="left" vertical="center"/>
    </xf>
    <xf numFmtId="0" fontId="21" fillId="17" borderId="26" xfId="0" applyFont="1" applyFill="1" applyBorder="1" applyAlignment="1" applyProtection="1">
      <alignment horizontal="left" vertical="top" wrapText="1"/>
    </xf>
    <xf numFmtId="0" fontId="20" fillId="17" borderId="0" xfId="0" applyFont="1" applyFill="1" applyBorder="1" applyAlignment="1" applyProtection="1">
      <alignment wrapText="1"/>
    </xf>
    <xf numFmtId="0" fontId="20" fillId="17" borderId="29" xfId="0" applyFont="1" applyFill="1" applyBorder="1" applyAlignment="1" applyProtection="1">
      <alignment wrapText="1"/>
    </xf>
    <xf numFmtId="0" fontId="20" fillId="17" borderId="26" xfId="0" applyFont="1" applyFill="1" applyBorder="1" applyAlignment="1" applyProtection="1">
      <alignment wrapText="1"/>
    </xf>
    <xf numFmtId="7" fontId="17" fillId="0" borderId="18" xfId="0" applyNumberFormat="1" applyFont="1" applyBorder="1" applyAlignment="1" applyProtection="1">
      <alignment horizontal="left" wrapText="1"/>
      <protection locked="0"/>
    </xf>
    <xf numFmtId="0" fontId="26" fillId="0" borderId="18" xfId="0" applyFont="1" applyBorder="1" applyAlignment="1" applyProtection="1">
      <alignment horizontal="left" wrapText="1"/>
      <protection locked="0"/>
    </xf>
    <xf numFmtId="0" fontId="26" fillId="0" borderId="0" xfId="0" applyFont="1" applyBorder="1" applyAlignment="1" applyProtection="1">
      <alignment horizontal="left" wrapText="1"/>
      <protection locked="0"/>
    </xf>
    <xf numFmtId="0" fontId="26" fillId="0" borderId="29" xfId="0" applyFont="1" applyBorder="1" applyAlignment="1" applyProtection="1">
      <alignment horizontal="left" wrapText="1"/>
      <protection locked="0"/>
    </xf>
    <xf numFmtId="0" fontId="0" fillId="5" borderId="14"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5" borderId="14" xfId="0" applyFill="1" applyBorder="1" applyAlignment="1" applyProtection="1">
      <alignment horizontal="left" vertical="center"/>
    </xf>
    <xf numFmtId="0" fontId="0" fillId="0" borderId="12" xfId="0" applyBorder="1" applyAlignment="1" applyProtection="1">
      <alignment horizontal="left" vertical="center"/>
    </xf>
    <xf numFmtId="0" fontId="0" fillId="0" borderId="31" xfId="0" applyBorder="1" applyAlignment="1" applyProtection="1">
      <alignment horizontal="left" vertical="center"/>
    </xf>
    <xf numFmtId="7" fontId="0" fillId="5" borderId="14" xfId="0" applyNumberFormat="1" applyFill="1" applyBorder="1" applyAlignment="1" applyProtection="1">
      <alignment horizontal="left" vertical="center"/>
    </xf>
    <xf numFmtId="0" fontId="41" fillId="15" borderId="0" xfId="0" applyFont="1" applyFill="1" applyBorder="1" applyAlignment="1">
      <alignment vertical="center" wrapText="1"/>
    </xf>
    <xf numFmtId="0" fontId="41" fillId="15" borderId="0" xfId="0" applyFont="1" applyFill="1" applyBorder="1" applyAlignment="1">
      <alignment vertical="center"/>
    </xf>
    <xf numFmtId="0" fontId="41" fillId="15" borderId="29" xfId="0" applyFont="1" applyFill="1" applyBorder="1" applyAlignment="1">
      <alignment vertical="center"/>
    </xf>
    <xf numFmtId="0" fontId="13" fillId="5" borderId="14" xfId="0" applyFont="1" applyFill="1" applyBorder="1" applyAlignment="1" applyProtection="1">
      <alignment horizontal="left" vertical="center"/>
      <protection locked="0"/>
    </xf>
    <xf numFmtId="0" fontId="0" fillId="0" borderId="12" xfId="0" applyBorder="1" applyAlignment="1" applyProtection="1">
      <alignment vertical="center"/>
      <protection locked="0"/>
    </xf>
    <xf numFmtId="0" fontId="0" fillId="0" borderId="31" xfId="0" applyBorder="1" applyAlignment="1" applyProtection="1">
      <alignment vertical="center"/>
      <protection locked="0"/>
    </xf>
    <xf numFmtId="0" fontId="0" fillId="0" borderId="12" xfId="0" applyBorder="1" applyAlignment="1">
      <alignment horizontal="left" vertical="center"/>
    </xf>
    <xf numFmtId="0" fontId="0" fillId="0" borderId="31" xfId="0" applyBorder="1" applyAlignment="1">
      <alignment horizontal="left" vertical="center"/>
    </xf>
    <xf numFmtId="0" fontId="25" fillId="5" borderId="211" xfId="0" applyFont="1" applyFill="1" applyBorder="1" applyAlignment="1" applyProtection="1">
      <alignment horizontal="left" vertical="center"/>
      <protection locked="0"/>
    </xf>
    <xf numFmtId="0" fontId="0" fillId="0" borderId="211" xfId="0" applyBorder="1" applyAlignment="1">
      <alignment horizontal="left" vertical="center"/>
    </xf>
    <xf numFmtId="0" fontId="0" fillId="0" borderId="212" xfId="0" applyBorder="1" applyAlignment="1">
      <alignment horizontal="left" vertical="center"/>
    </xf>
    <xf numFmtId="0" fontId="48" fillId="7" borderId="32" xfId="0" applyFont="1" applyFill="1" applyBorder="1" applyAlignment="1">
      <alignment horizontal="center" vertical="top"/>
    </xf>
    <xf numFmtId="0" fontId="0" fillId="0" borderId="33" xfId="0" applyBorder="1" applyAlignment="1">
      <alignment vertical="top"/>
    </xf>
    <xf numFmtId="0" fontId="0" fillId="0" borderId="34" xfId="0" applyBorder="1" applyAlignment="1">
      <alignment vertical="top"/>
    </xf>
    <xf numFmtId="14" fontId="0" fillId="5" borderId="13" xfId="0" applyNumberFormat="1" applyFill="1" applyBorder="1" applyAlignment="1" applyProtection="1">
      <alignment horizontal="left" vertical="center"/>
    </xf>
    <xf numFmtId="0" fontId="0" fillId="0" borderId="11" xfId="0" applyBorder="1" applyAlignment="1" applyProtection="1">
      <alignment horizontal="left" vertical="center"/>
    </xf>
    <xf numFmtId="0" fontId="0" fillId="0" borderId="30" xfId="0" applyBorder="1" applyAlignment="1" applyProtection="1">
      <alignment horizontal="left" vertical="center"/>
    </xf>
    <xf numFmtId="0" fontId="13" fillId="5" borderId="13" xfId="0" applyFont="1"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58" fillId="22" borderId="0" xfId="13" applyFont="1" applyFill="1" applyBorder="1" applyAlignment="1" applyProtection="1">
      <alignment horizontal="left" vertical="center" wrapText="1"/>
      <protection locked="0"/>
    </xf>
    <xf numFmtId="0" fontId="84" fillId="9" borderId="0" xfId="13" applyFont="1" applyFill="1" applyAlignment="1" applyProtection="1">
      <alignment horizontal="left" vertical="center"/>
    </xf>
    <xf numFmtId="0" fontId="84" fillId="9" borderId="0" xfId="13" applyFont="1" applyFill="1" applyAlignment="1" applyProtection="1">
      <alignment horizontal="center" vertical="center"/>
    </xf>
    <xf numFmtId="0" fontId="0" fillId="0" borderId="0" xfId="0" applyAlignment="1">
      <alignment horizontal="center" vertical="center"/>
    </xf>
    <xf numFmtId="49" fontId="88" fillId="15" borderId="0" xfId="13" applyNumberFormat="1" applyFont="1" applyFill="1" applyAlignment="1">
      <alignment horizontal="right"/>
    </xf>
    <xf numFmtId="0" fontId="88" fillId="15" borderId="62" xfId="13" applyFont="1" applyFill="1" applyBorder="1" applyAlignment="1">
      <alignment horizontal="right"/>
    </xf>
    <xf numFmtId="49" fontId="89" fillId="15" borderId="0" xfId="13" applyNumberFormat="1" applyFont="1" applyFill="1" applyAlignment="1">
      <alignment horizontal="center"/>
    </xf>
    <xf numFmtId="0" fontId="89" fillId="15" borderId="0" xfId="13" applyFont="1" applyFill="1" applyAlignment="1">
      <alignment horizontal="center"/>
    </xf>
    <xf numFmtId="0" fontId="99" fillId="9" borderId="0" xfId="13" applyFont="1" applyFill="1" applyAlignment="1">
      <alignment horizontal="center" vertical="center"/>
    </xf>
    <xf numFmtId="0" fontId="10" fillId="4" borderId="0" xfId="13" applyFill="1" applyAlignment="1"/>
    <xf numFmtId="0" fontId="94" fillId="4" borderId="65" xfId="13" applyFont="1" applyFill="1" applyBorder="1" applyAlignment="1"/>
    <xf numFmtId="0" fontId="10" fillId="0" borderId="65" xfId="13" applyBorder="1" applyAlignment="1"/>
    <xf numFmtId="0" fontId="99" fillId="9" borderId="0" xfId="19" applyFont="1" applyFill="1" applyAlignment="1" applyProtection="1">
      <alignment horizontal="left" vertical="center"/>
      <protection locked="0"/>
    </xf>
    <xf numFmtId="0" fontId="92" fillId="12" borderId="0" xfId="19" applyFont="1" applyFill="1" applyAlignment="1" applyProtection="1">
      <alignment horizontal="center" vertical="center"/>
      <protection locked="0"/>
    </xf>
    <xf numFmtId="0" fontId="92" fillId="12" borderId="27" xfId="19" applyFont="1" applyFill="1" applyBorder="1" applyAlignment="1">
      <alignment horizontal="center" vertical="center"/>
    </xf>
    <xf numFmtId="0" fontId="33" fillId="14" borderId="0" xfId="19" applyFont="1" applyFill="1" applyBorder="1" applyAlignment="1" applyProtection="1">
      <alignment vertical="center" wrapText="1"/>
      <protection locked="0"/>
    </xf>
    <xf numFmtId="0" fontId="8" fillId="14" borderId="0" xfId="19" applyFill="1" applyAlignment="1">
      <alignment vertical="center" wrapText="1"/>
    </xf>
    <xf numFmtId="0" fontId="8" fillId="14" borderId="27" xfId="19" applyFill="1" applyBorder="1" applyAlignment="1">
      <alignment vertical="center" wrapText="1"/>
    </xf>
    <xf numFmtId="0" fontId="33" fillId="14" borderId="0" xfId="19" applyFont="1" applyFill="1" applyAlignment="1">
      <alignment vertical="center" wrapText="1"/>
    </xf>
    <xf numFmtId="0" fontId="33" fillId="14" borderId="27" xfId="19" applyFont="1" applyFill="1" applyBorder="1" applyAlignment="1">
      <alignment vertical="center" wrapText="1"/>
    </xf>
    <xf numFmtId="0" fontId="8" fillId="0" borderId="0" xfId="19" applyAlignment="1"/>
    <xf numFmtId="0" fontId="103" fillId="4" borderId="76" xfId="19" applyFont="1" applyFill="1" applyBorder="1" applyAlignment="1">
      <alignment horizontal="right" vertical="top"/>
    </xf>
    <xf numFmtId="0" fontId="8" fillId="0" borderId="66" xfId="19" applyBorder="1" applyAlignment="1">
      <alignment horizontal="right" vertical="top"/>
    </xf>
    <xf numFmtId="0" fontId="127" fillId="4" borderId="11" xfId="22" applyFont="1" applyFill="1" applyBorder="1" applyAlignment="1" applyProtection="1">
      <alignment horizontal="left" vertical="center"/>
      <protection hidden="1"/>
    </xf>
    <xf numFmtId="0" fontId="5" fillId="4" borderId="11" xfId="22" applyFill="1" applyBorder="1" applyAlignment="1">
      <alignment vertical="center"/>
    </xf>
    <xf numFmtId="0" fontId="127" fillId="8" borderId="11" xfId="22" applyFont="1" applyFill="1" applyBorder="1" applyAlignment="1" applyProtection="1">
      <alignment vertical="center"/>
      <protection hidden="1"/>
    </xf>
    <xf numFmtId="0" fontId="5" fillId="4" borderId="11" xfId="22" applyFill="1" applyBorder="1" applyAlignment="1">
      <alignment horizontal="left" vertical="center"/>
    </xf>
    <xf numFmtId="0" fontId="5" fillId="4" borderId="150" xfId="22" applyFill="1" applyBorder="1" applyAlignment="1">
      <alignment horizontal="left" vertical="center"/>
    </xf>
    <xf numFmtId="0" fontId="127" fillId="4" borderId="144" xfId="22" applyFont="1" applyFill="1" applyBorder="1" applyAlignment="1" applyProtection="1">
      <alignment horizontal="left" vertical="center"/>
      <protection hidden="1"/>
    </xf>
    <xf numFmtId="0" fontId="5" fillId="4" borderId="0" xfId="22" applyFill="1" applyBorder="1" applyAlignment="1">
      <alignment horizontal="left" vertical="center"/>
    </xf>
    <xf numFmtId="0" fontId="5" fillId="4" borderId="144" xfId="22" applyFill="1" applyBorder="1" applyAlignment="1">
      <alignment horizontal="left" vertical="center"/>
    </xf>
    <xf numFmtId="0" fontId="5" fillId="4" borderId="152" xfId="22" applyFill="1" applyBorder="1" applyAlignment="1">
      <alignment horizontal="left" vertical="center"/>
    </xf>
    <xf numFmtId="0" fontId="126" fillId="4" borderId="0" xfId="22" applyFont="1" applyFill="1" applyBorder="1" applyAlignment="1" applyProtection="1">
      <alignment horizontal="center" vertical="center"/>
      <protection locked="0" hidden="1"/>
    </xf>
    <xf numFmtId="0" fontId="126" fillId="0" borderId="0" xfId="22" applyFont="1" applyBorder="1" applyAlignment="1" applyProtection="1">
      <alignment vertical="center"/>
      <protection locked="0" hidden="1"/>
    </xf>
    <xf numFmtId="0" fontId="126" fillId="0" borderId="144" xfId="22" applyFont="1" applyBorder="1" applyAlignment="1" applyProtection="1">
      <alignment vertical="center"/>
      <protection locked="0" hidden="1"/>
    </xf>
    <xf numFmtId="0" fontId="127" fillId="4" borderId="146" xfId="22" applyFont="1" applyFill="1" applyBorder="1" applyAlignment="1" applyProtection="1">
      <alignment horizontal="left" vertical="center"/>
      <protection hidden="1"/>
    </xf>
    <xf numFmtId="0" fontId="5" fillId="4" borderId="146" xfId="22" applyFill="1" applyBorder="1" applyAlignment="1">
      <alignment vertical="center"/>
    </xf>
    <xf numFmtId="0" fontId="127" fillId="8" borderId="147" xfId="22" applyFont="1" applyFill="1" applyBorder="1" applyAlignment="1" applyProtection="1">
      <alignment vertical="center"/>
      <protection hidden="1"/>
    </xf>
    <xf numFmtId="0" fontId="127" fillId="8" borderId="0" xfId="22" applyFont="1" applyFill="1" applyBorder="1" applyAlignment="1" applyProtection="1">
      <alignment vertical="center"/>
      <protection hidden="1"/>
    </xf>
    <xf numFmtId="0" fontId="5" fillId="14" borderId="7" xfId="22" applyFill="1" applyBorder="1" applyAlignment="1">
      <alignment horizontal="center" vertical="center"/>
    </xf>
    <xf numFmtId="0" fontId="5" fillId="33" borderId="107" xfId="22" applyFill="1" applyBorder="1" applyAlignment="1" applyProtection="1">
      <alignment horizontal="left"/>
      <protection locked="0"/>
    </xf>
    <xf numFmtId="0" fontId="5" fillId="33" borderId="108" xfId="22" applyFill="1" applyBorder="1" applyAlignment="1" applyProtection="1">
      <alignment horizontal="left"/>
      <protection locked="0"/>
    </xf>
    <xf numFmtId="0" fontId="5" fillId="33" borderId="113" xfId="22" applyFill="1" applyBorder="1" applyAlignment="1" applyProtection="1">
      <alignment horizontal="left"/>
      <protection locked="0"/>
    </xf>
    <xf numFmtId="0" fontId="5" fillId="4" borderId="116" xfId="22" applyFill="1" applyBorder="1" applyAlignment="1"/>
    <xf numFmtId="0" fontId="5" fillId="4" borderId="117" xfId="22" applyFill="1" applyBorder="1" applyAlignment="1"/>
    <xf numFmtId="0" fontId="98" fillId="5" borderId="120" xfId="22" applyFont="1" applyFill="1" applyBorder="1" applyAlignment="1">
      <alignment horizontal="center"/>
    </xf>
    <xf numFmtId="0" fontId="98" fillId="5" borderId="121" xfId="22" applyFont="1" applyFill="1" applyBorder="1" applyAlignment="1">
      <alignment horizontal="center"/>
    </xf>
    <xf numFmtId="0" fontId="98" fillId="5" borderId="122" xfId="22" applyFont="1" applyFill="1" applyBorder="1" applyAlignment="1">
      <alignment horizontal="center"/>
    </xf>
    <xf numFmtId="0" fontId="125" fillId="15" borderId="0" xfId="22" applyFont="1" applyFill="1" applyBorder="1" applyAlignment="1" applyProtection="1">
      <protection locked="0"/>
    </xf>
    <xf numFmtId="0" fontId="5" fillId="4" borderId="116" xfId="22" applyFill="1" applyBorder="1" applyAlignment="1" applyProtection="1">
      <protection locked="0"/>
    </xf>
    <xf numFmtId="0" fontId="5" fillId="4" borderId="117" xfId="22" applyFill="1" applyBorder="1" applyAlignment="1" applyProtection="1">
      <protection locked="0"/>
    </xf>
    <xf numFmtId="0" fontId="98" fillId="5" borderId="133" xfId="22" applyFont="1" applyFill="1" applyBorder="1" applyAlignment="1">
      <alignment horizontal="center" vertical="center"/>
    </xf>
    <xf numFmtId="0" fontId="98" fillId="5" borderId="134" xfId="22" applyFont="1" applyFill="1" applyBorder="1" applyAlignment="1">
      <alignment horizontal="center" vertical="center"/>
    </xf>
    <xf numFmtId="0" fontId="98" fillId="5" borderId="135" xfId="22" applyFont="1" applyFill="1" applyBorder="1" applyAlignment="1">
      <alignment horizontal="center" vertical="center"/>
    </xf>
    <xf numFmtId="0" fontId="5" fillId="5" borderId="0" xfId="22" applyFill="1" applyAlignment="1"/>
    <xf numFmtId="0" fontId="5" fillId="33" borderId="96" xfId="22" applyFill="1" applyBorder="1" applyAlignment="1" applyProtection="1">
      <protection locked="0"/>
    </xf>
    <xf numFmtId="0" fontId="5" fillId="0" borderId="97" xfId="22" applyBorder="1" applyAlignment="1" applyProtection="1">
      <protection locked="0"/>
    </xf>
    <xf numFmtId="0" fontId="5" fillId="0" borderId="98" xfId="22" applyBorder="1" applyAlignment="1" applyProtection="1">
      <protection locked="0"/>
    </xf>
    <xf numFmtId="0" fontId="5" fillId="33" borderId="107" xfId="22" applyFill="1" applyBorder="1" applyAlignment="1" applyProtection="1">
      <protection locked="0"/>
    </xf>
    <xf numFmtId="0" fontId="5" fillId="0" borderId="108" xfId="22" applyBorder="1" applyAlignment="1" applyProtection="1">
      <protection locked="0"/>
    </xf>
    <xf numFmtId="0" fontId="5" fillId="0" borderId="109" xfId="22" applyBorder="1" applyAlignment="1" applyProtection="1">
      <protection locked="0"/>
    </xf>
  </cellXfs>
  <cellStyles count="33">
    <cellStyle name="Comma 2" xfId="5"/>
    <cellStyle name="Currency" xfId="1" builtinId="4"/>
    <cellStyle name="Currency 2" xfId="6"/>
    <cellStyle name="Currency 3" xfId="11"/>
    <cellStyle name="Currency 4" xfId="16"/>
    <cellStyle name="Hyperlink" xfId="8" builtinId="8"/>
    <cellStyle name="Hyperlink 2" xfId="14"/>
    <cellStyle name="Normal" xfId="0" builtinId="0"/>
    <cellStyle name="Normal 10" xfId="22"/>
    <cellStyle name="Normal 10 2" xfId="31"/>
    <cellStyle name="Normal 11" xfId="23"/>
    <cellStyle name="Normal 11 2" xfId="32"/>
    <cellStyle name="Normal 2" xfId="4"/>
    <cellStyle name="Normal 3" xfId="3"/>
    <cellStyle name="Normal 3 2" xfId="9"/>
    <cellStyle name="Normal 3 2 2" xfId="25"/>
    <cellStyle name="Normal 3 3" xfId="24"/>
    <cellStyle name="Normal 4" xfId="10"/>
    <cellStyle name="Normal 5" xfId="13"/>
    <cellStyle name="Normal 5 2" xfId="26"/>
    <cellStyle name="Normal 6" xfId="18"/>
    <cellStyle name="Normal 6 2" xfId="27"/>
    <cellStyle name="Normal 7" xfId="19"/>
    <cellStyle name="Normal 7 2" xfId="28"/>
    <cellStyle name="Normal 8" xfId="20"/>
    <cellStyle name="Normal 8 2" xfId="29"/>
    <cellStyle name="Normal 9" xfId="21"/>
    <cellStyle name="Normal 9 2" xfId="30"/>
    <cellStyle name="Percent" xfId="2" builtinId="5"/>
    <cellStyle name="Percent 2" xfId="7"/>
    <cellStyle name="Percent 2 2" xfId="17"/>
    <cellStyle name="Percent 3" xfId="12"/>
    <cellStyle name="Percent 4" xfId="15"/>
  </cellStyles>
  <dxfs count="157">
    <dxf>
      <font>
        <condense val="0"/>
        <extend val="0"/>
        <color rgb="FF9C0006"/>
      </font>
      <fill>
        <patternFill>
          <bgColor rgb="FFFFC7CE"/>
        </patternFill>
      </fill>
    </dxf>
    <dxf>
      <font>
        <condense val="0"/>
        <extend val="0"/>
        <color rgb="FF9C0006"/>
      </font>
      <fill>
        <patternFill>
          <bgColor rgb="FFFFC7CE"/>
        </patternFill>
      </fill>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rgb="FF8FFD63"/>
        </patternFill>
      </fill>
    </dxf>
    <dxf>
      <fill>
        <patternFill>
          <bgColor rgb="FFFCC8DE"/>
        </patternFill>
      </fill>
    </dxf>
    <dxf>
      <fill>
        <patternFill>
          <bgColor rgb="FFE58BAD"/>
        </patternFill>
      </fill>
    </dxf>
    <dxf>
      <fill>
        <patternFill>
          <bgColor rgb="FFFFFF8F"/>
        </patternFill>
      </fill>
    </dxf>
    <dxf>
      <fill>
        <patternFill>
          <bgColor rgb="FFE2D47E"/>
        </patternFill>
      </fill>
    </dxf>
    <dxf>
      <fill>
        <patternFill>
          <bgColor rgb="FFC4FFA7"/>
        </patternFill>
      </fill>
    </dxf>
    <dxf>
      <fill>
        <patternFill>
          <bgColor theme="8" tint="0.59996337778862885"/>
        </patternFill>
      </fill>
    </dxf>
    <dxf>
      <fill>
        <patternFill>
          <bgColor theme="2" tint="-9.9948118533890809E-2"/>
        </patternFill>
      </fill>
    </dxf>
    <dxf>
      <fill>
        <patternFill>
          <bgColor theme="6" tint="0.59996337778862885"/>
        </patternFill>
      </fill>
    </dxf>
    <dxf>
      <fill>
        <patternFill>
          <bgColor theme="4" tint="0.59996337778862885"/>
        </patternFill>
      </fill>
    </dxf>
    <dxf>
      <fill>
        <patternFill>
          <bgColor theme="9" tint="0.59996337778862885"/>
        </patternFill>
      </fill>
    </dxf>
    <dxf>
      <fill>
        <patternFill>
          <bgColor rgb="FFFFE1FF"/>
        </patternFill>
      </fill>
    </dxf>
    <dxf>
      <fill>
        <patternFill>
          <bgColor theme="7" tint="0.59996337778862885"/>
        </patternFill>
      </fill>
    </dxf>
    <dxf>
      <fill>
        <patternFill>
          <bgColor rgb="FF98D8C7"/>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top/>
        <bottom/>
        <vertical/>
        <horizontal/>
      </border>
    </dxf>
    <dxf>
      <fill>
        <patternFill>
          <bgColor rgb="FFFFFF97"/>
        </patternFill>
      </fill>
    </dxf>
    <dxf>
      <fill>
        <patternFill>
          <bgColor theme="8" tint="0.79998168889431442"/>
        </patternFill>
      </fill>
    </dxf>
    <dxf>
      <border>
        <right/>
        <top/>
        <bottom/>
        <vertical/>
        <horizontal/>
      </border>
    </dxf>
    <dxf>
      <fill>
        <patternFill>
          <bgColor rgb="FFFFFF97"/>
        </patternFill>
      </fill>
    </dxf>
    <dxf>
      <fill>
        <patternFill>
          <bgColor theme="8" tint="0.79998168889431442"/>
        </patternFill>
      </fill>
    </dxf>
    <dxf>
      <fill>
        <patternFill>
          <bgColor theme="8" tint="0.79998168889431442"/>
        </patternFill>
      </fill>
      <border>
        <top style="thin">
          <color theme="0"/>
        </top>
      </border>
    </dxf>
    <dxf>
      <border>
        <top/>
        <bottom/>
        <vertical/>
        <horizontal/>
      </border>
    </dxf>
    <dxf>
      <fill>
        <patternFill>
          <bgColor theme="8" tint="0.79998168889431442"/>
        </patternFill>
      </fill>
    </dxf>
    <dxf>
      <border>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border>
        <top/>
        <bottom/>
        <vertical/>
        <horizontal/>
      </border>
    </dxf>
    <dxf>
      <fill>
        <patternFill>
          <bgColor theme="8" tint="0.79998168889431442"/>
        </patternFill>
      </fill>
    </dxf>
    <dxf>
      <fill>
        <patternFill>
          <bgColor theme="8" tint="0.79998168889431442"/>
        </patternFill>
      </fill>
    </dxf>
    <dxf>
      <border>
        <right/>
        <top/>
        <bottom/>
        <vertical/>
        <horizontal/>
      </border>
    </dxf>
    <dxf>
      <fill>
        <patternFill>
          <bgColor theme="8" tint="0.79998168889431442"/>
        </patternFill>
      </fill>
    </dxf>
    <dxf>
      <fill>
        <patternFill>
          <bgColor rgb="FFFFCCFF"/>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8" tint="0.79998168889431442"/>
        </patternFill>
      </fill>
    </dxf>
    <dxf>
      <fill>
        <patternFill>
          <bgColor rgb="FFFFCCFF"/>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border>
        <top/>
        <bottom/>
        <vertical/>
        <horizontal/>
      </border>
    </dxf>
    <dxf>
      <fill>
        <patternFill>
          <bgColor theme="8" tint="0.79998168889431442"/>
        </patternFill>
      </fill>
    </dxf>
    <dxf>
      <fill>
        <patternFill>
          <bgColor rgb="FFFFFF97"/>
        </patternFill>
      </fill>
    </dxf>
    <dxf>
      <fill>
        <patternFill>
          <bgColor rgb="FFFFFF97"/>
        </patternFill>
      </fill>
      <border>
        <left/>
        <right/>
        <top style="thin">
          <color theme="0"/>
        </top>
        <bottom style="thin">
          <color theme="0"/>
        </bottom>
      </border>
    </dxf>
    <dxf>
      <fill>
        <patternFill>
          <bgColor theme="8" tint="0.79998168889431442"/>
        </patternFill>
      </fill>
    </dxf>
    <dxf>
      <fill>
        <patternFill>
          <bgColor rgb="FFFFFF97"/>
        </patternFill>
      </fill>
    </dxf>
    <dxf>
      <fill>
        <patternFill>
          <bgColor rgb="FFFFFF97"/>
        </patternFill>
      </fill>
      <border>
        <left/>
        <right/>
        <top style="thin">
          <color theme="0"/>
        </top>
        <bottom style="thin">
          <color theme="0"/>
        </bottom>
      </border>
    </dxf>
    <dxf>
      <fill>
        <patternFill>
          <bgColor theme="8" tint="0.79998168889431442"/>
        </patternFill>
      </fill>
    </dxf>
    <dxf>
      <fill>
        <patternFill>
          <bgColor rgb="FFFFFF97"/>
        </patternFill>
      </fill>
    </dxf>
    <dxf>
      <fill>
        <patternFill>
          <bgColor rgb="FFFFFF97"/>
        </patternFill>
      </fill>
      <border>
        <left/>
        <right/>
        <top style="thin">
          <color theme="0"/>
        </top>
        <bottom style="thin">
          <color theme="0"/>
        </bottom>
      </border>
    </dxf>
    <dxf>
      <fill>
        <patternFill>
          <bgColor theme="8" tint="0.79998168889431442"/>
        </patternFill>
      </fill>
    </dxf>
    <dxf>
      <fill>
        <patternFill>
          <bgColor rgb="FFFFFF97"/>
        </patternFill>
      </fill>
    </dxf>
    <dxf>
      <fill>
        <patternFill>
          <bgColor theme="8" tint="0.79998168889431442"/>
        </patternFill>
      </fill>
    </dxf>
    <dxf>
      <fill>
        <patternFill>
          <bgColor rgb="FFFFFF97"/>
        </patternFill>
      </fill>
    </dxf>
    <dxf>
      <fill>
        <patternFill>
          <bgColor rgb="FFFFFF97"/>
        </patternFill>
      </fill>
      <border>
        <left/>
        <right/>
        <top style="thin">
          <color theme="0"/>
        </top>
        <bottom style="thin">
          <color theme="0"/>
        </bottom>
      </border>
    </dxf>
    <dxf>
      <fill>
        <patternFill>
          <bgColor rgb="FFFFFF97"/>
        </patternFill>
      </fill>
    </dxf>
    <dxf>
      <fill>
        <patternFill>
          <bgColor theme="8" tint="0.79998168889431442"/>
        </patternFill>
      </fill>
    </dxf>
    <dxf>
      <fill>
        <patternFill>
          <bgColor theme="8" tint="0.79998168889431442"/>
        </patternFill>
      </fill>
    </dxf>
    <dxf>
      <fill>
        <patternFill>
          <bgColor theme="8" tint="0.79998168889431442"/>
        </patternFill>
      </fill>
      <border>
        <top style="thin">
          <color theme="0"/>
        </top>
      </border>
    </dxf>
    <dxf>
      <font>
        <color theme="0"/>
      </font>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patternType="solid">
          <bgColor theme="8" tint="0.79998168889431442"/>
        </patternFill>
      </fill>
    </dxf>
    <dxf>
      <fill>
        <patternFill>
          <bgColor rgb="FFFFCCFF"/>
        </patternFill>
      </fill>
    </dxf>
    <dxf>
      <fill>
        <patternFill>
          <bgColor theme="9" tint="0.39994506668294322"/>
        </patternFill>
      </fill>
    </dxf>
    <dxf>
      <fill>
        <patternFill>
          <bgColor theme="4" tint="0.59996337778862885"/>
        </patternFill>
      </fill>
    </dxf>
    <dxf>
      <fill>
        <patternFill>
          <bgColor theme="7" tint="0.59996337778862885"/>
        </patternFill>
      </fill>
    </dxf>
    <dxf>
      <font>
        <color theme="0"/>
      </font>
    </dxf>
    <dxf>
      <font>
        <color theme="0"/>
      </font>
      <fill>
        <patternFill>
          <bgColor rgb="FFF66900"/>
        </patternFill>
      </fill>
    </dxf>
    <dxf>
      <font>
        <color theme="0"/>
      </font>
      <fill>
        <patternFill>
          <bgColor rgb="FFF66900"/>
        </patternFill>
      </fill>
    </dxf>
    <dxf>
      <font>
        <color theme="0"/>
      </font>
      <fill>
        <patternFill>
          <bgColor rgb="FFFF0000"/>
        </patternFill>
      </fill>
    </dxf>
    <dxf>
      <border>
        <left style="thin">
          <color theme="4" tint="-0.499984740745262"/>
        </left>
        <right style="thin">
          <color theme="4" tint="-0.499984740745262"/>
        </right>
        <top style="thin">
          <color theme="4" tint="-0.499984740745262"/>
        </top>
        <bottom style="thin">
          <color theme="4" tint="-0.499984740745262"/>
        </bottom>
        <vertical/>
        <horizontal/>
      </border>
    </dxf>
    <dxf>
      <font>
        <color theme="0"/>
      </font>
      <fill>
        <patternFill>
          <bgColor rgb="FFFF0000"/>
        </patternFill>
      </fill>
    </dxf>
    <dxf>
      <font>
        <color theme="0"/>
      </font>
      <fill>
        <patternFill>
          <bgColor rgb="FFFF0000"/>
        </patternFill>
      </fill>
    </dxf>
    <dxf>
      <font>
        <color rgb="FFFFFF00"/>
      </font>
    </dxf>
  </dxfs>
  <tableStyles count="0" defaultTableStyle="TableStyleMedium9" defaultPivotStyle="PivotStyleLight16"/>
  <colors>
    <mruColors>
      <color rgb="FF1F497D"/>
      <color rgb="FFFF3300"/>
      <color rgb="FF0CA8E0"/>
      <color rgb="FFCC00FF"/>
      <color rgb="FFFF99FF"/>
      <color rgb="FFFFCCFF"/>
      <color rgb="FFBACFE4"/>
      <color rgb="FFF8B54A"/>
      <color rgb="FF00679A"/>
      <color rgb="FF66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16384</xdr:col>
      <xdr:colOff>419100</xdr:colOff>
      <xdr:row>1</xdr:row>
      <xdr:rowOff>127000</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5416549" cy="100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209550</xdr:rowOff>
        </xdr:from>
        <xdr:to>
          <xdr:col>2</xdr:col>
          <xdr:colOff>1028700</xdr:colOff>
          <xdr:row>5</xdr:row>
          <xdr:rowOff>285750</xdr:rowOff>
        </xdr:to>
        <xdr:sp macro="" textlink="">
          <xdr:nvSpPr>
            <xdr:cNvPr id="3074" name="CommandButton1"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133350</xdr:colOff>
          <xdr:row>1</xdr:row>
          <xdr:rowOff>47625</xdr:rowOff>
        </xdr:from>
        <xdr:to>
          <xdr:col>8</xdr:col>
          <xdr:colOff>400050</xdr:colOff>
          <xdr:row>3</xdr:row>
          <xdr:rowOff>142875</xdr:rowOff>
        </xdr:to>
        <xdr:sp macro="" textlink="">
          <xdr:nvSpPr>
            <xdr:cNvPr id="1129" name="CommandButton1" hidden="1">
              <a:extLst>
                <a:ext uri="{63B3BB69-23CF-44E3-9099-C40C66FF867C}">
                  <a14:compatExt spid="_x0000_s112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19050</xdr:rowOff>
        </xdr:from>
        <xdr:to>
          <xdr:col>9</xdr:col>
          <xdr:colOff>0</xdr:colOff>
          <xdr:row>5</xdr:row>
          <xdr:rowOff>133350</xdr:rowOff>
        </xdr:to>
        <xdr:sp macro="" textlink="">
          <xdr:nvSpPr>
            <xdr:cNvPr id="1145" name="CommandButton2"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2219325</xdr:colOff>
          <xdr:row>0</xdr:row>
          <xdr:rowOff>295275</xdr:rowOff>
        </xdr:from>
        <xdr:to>
          <xdr:col>4</xdr:col>
          <xdr:colOff>285750</xdr:colOff>
          <xdr:row>0</xdr:row>
          <xdr:rowOff>590550</xdr:rowOff>
        </xdr:to>
        <xdr:sp macro="" textlink="">
          <xdr:nvSpPr>
            <xdr:cNvPr id="14338" name="CommandButton1" hidden="1">
              <a:extLst>
                <a:ext uri="{63B3BB69-23CF-44E3-9099-C40C66FF867C}">
                  <a14:compatExt spid="_x0000_s14338"/>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23</xdr:row>
          <xdr:rowOff>38100</xdr:rowOff>
        </xdr:from>
        <xdr:to>
          <xdr:col>2</xdr:col>
          <xdr:colOff>400050</xdr:colOff>
          <xdr:row>23</xdr:row>
          <xdr:rowOff>200025</xdr:rowOff>
        </xdr:to>
        <xdr:sp macro="" textlink="">
          <xdr:nvSpPr>
            <xdr:cNvPr id="4097" name="Label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Notes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2276475</xdr:colOff>
          <xdr:row>0</xdr:row>
          <xdr:rowOff>66675</xdr:rowOff>
        </xdr:from>
        <xdr:to>
          <xdr:col>4</xdr:col>
          <xdr:colOff>361950</xdr:colOff>
          <xdr:row>0</xdr:row>
          <xdr:rowOff>361950</xdr:rowOff>
        </xdr:to>
        <xdr:sp macro="" textlink="">
          <xdr:nvSpPr>
            <xdr:cNvPr id="4103" name="CommandButton2" hidden="1">
              <a:extLst>
                <a:ext uri="{63B3BB69-23CF-44E3-9099-C40C66FF867C}">
                  <a14:compatExt spid="_x0000_s4103"/>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123825</xdr:colOff>
          <xdr:row>1</xdr:row>
          <xdr:rowOff>47625</xdr:rowOff>
        </xdr:from>
        <xdr:to>
          <xdr:col>9</xdr:col>
          <xdr:colOff>485775</xdr:colOff>
          <xdr:row>1</xdr:row>
          <xdr:rowOff>352425</xdr:rowOff>
        </xdr:to>
        <xdr:sp macro="" textlink="">
          <xdr:nvSpPr>
            <xdr:cNvPr id="20482" name="CommandButton1" hidden="1">
              <a:extLst>
                <a:ext uri="{63B3BB69-23CF-44E3-9099-C40C66FF867C}">
                  <a14:compatExt spid="_x0000_s20482"/>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1819275</xdr:colOff>
          <xdr:row>0</xdr:row>
          <xdr:rowOff>19050</xdr:rowOff>
        </xdr:from>
        <xdr:to>
          <xdr:col>2</xdr:col>
          <xdr:colOff>2771775</xdr:colOff>
          <xdr:row>0</xdr:row>
          <xdr:rowOff>390525</xdr:rowOff>
        </xdr:to>
        <xdr:sp macro="" textlink="">
          <xdr:nvSpPr>
            <xdr:cNvPr id="11265" name="CommandButton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2924175</xdr:colOff>
          <xdr:row>0</xdr:row>
          <xdr:rowOff>38100</xdr:rowOff>
        </xdr:from>
        <xdr:to>
          <xdr:col>2</xdr:col>
          <xdr:colOff>4124325</xdr:colOff>
          <xdr:row>0</xdr:row>
          <xdr:rowOff>381000</xdr:rowOff>
        </xdr:to>
        <xdr:sp macro="" textlink="">
          <xdr:nvSpPr>
            <xdr:cNvPr id="11267" name="CommandButton2" hidden="1">
              <a:extLst>
                <a:ext uri="{63B3BB69-23CF-44E3-9099-C40C66FF867C}">
                  <a14:compatExt spid="_x0000_s11267"/>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11</xdr:col>
          <xdr:colOff>0</xdr:colOff>
          <xdr:row>10</xdr:row>
          <xdr:rowOff>0</xdr:rowOff>
        </xdr:to>
        <xdr:sp macro="" textlink="">
          <xdr:nvSpPr>
            <xdr:cNvPr id="24583" name="CommandButton1" hidden="1">
              <a:extLst>
                <a:ext uri="{63B3BB69-23CF-44E3-9099-C40C66FF867C}">
                  <a14:compatExt spid="_x0000_s2458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123825</xdr:rowOff>
        </xdr:from>
        <xdr:to>
          <xdr:col>8</xdr:col>
          <xdr:colOff>0</xdr:colOff>
          <xdr:row>198</xdr:row>
          <xdr:rowOff>0</xdr:rowOff>
        </xdr:to>
        <xdr:sp macro="" textlink="">
          <xdr:nvSpPr>
            <xdr:cNvPr id="24584" name="CommandButton2"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581025</xdr:colOff>
      <xdr:row>66</xdr:row>
      <xdr:rowOff>9525</xdr:rowOff>
    </xdr:to>
    <xdr:pic>
      <xdr:nvPicPr>
        <xdr:cNvPr id="1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53325" cy="1069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10</xdr:col>
      <xdr:colOff>0</xdr:colOff>
      <xdr:row>34</xdr:row>
      <xdr:rowOff>0</xdr:rowOff>
    </xdr:to>
    <xdr:pic>
      <xdr:nvPicPr>
        <xdr:cNvPr id="3" name="Picture 2" descr="Image result for crystal b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
          <a:ext cx="5486400" cy="540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aS\AppData\Local\Hewlett-Packard\HP%20TRIM\TEMP\HPTRIM.18164\Development%20~%20CONTROLS%20-%20PROCEDURES\Developer%20Contributions%20Calculator%20-%20Old%20Plans.xlt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_PC_DATA\Work_Folders\AbbeyB\Desktop\BAL%20Calculator%20and%20Summary1.xl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Contributions Calculator"/>
      <sheetName val="Sheet2"/>
      <sheetName val="Sheet3"/>
    </sheetNames>
    <sheetDataSet>
      <sheetData sheetId="0">
        <row r="72">
          <cell r="C72" t="str">
            <v>1_4</v>
          </cell>
        </row>
        <row r="73">
          <cell r="C73">
            <v>5</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row r="31">
          <cell r="G31" t="str">
            <v>Yes</v>
          </cell>
        </row>
        <row r="32">
          <cell r="G32" t="str">
            <v>No</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file:///C:\Users\LeaS\AppData\Local\Projects_Folder\P&amp;C%20-%20Development%20&amp;%20Approvals%20Team\Development%20Contributions%20Calculator%202018-2019.xlsm" TargetMode="External"/><Relationship Id="rId1" Type="http://schemas.openxmlformats.org/officeDocument/2006/relationships/hyperlink" Target="file:///C:\Users\LeaS\AppData\Local\Projects_Folder\P&amp;C%20-%20Development%20&amp;%20Approvals%20Team\Development%20Contributions%20Calculator%202018-2019.xltm"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3.xml"/><Relationship Id="rId5" Type="http://schemas.openxmlformats.org/officeDocument/2006/relationships/image" Target="../media/image3.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control" Target="../activeX/activeX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xml"/><Relationship Id="rId5" Type="http://schemas.openxmlformats.org/officeDocument/2006/relationships/image" Target="../media/image6.emf"/><Relationship Id="rId4" Type="http://schemas.openxmlformats.org/officeDocument/2006/relationships/control" Target="../activeX/activeX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control" Target="../activeX/activeX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9.emf"/><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8.xml"/><Relationship Id="rId5" Type="http://schemas.openxmlformats.org/officeDocument/2006/relationships/image" Target="../media/image8.emf"/><Relationship Id="rId4" Type="http://schemas.openxmlformats.org/officeDocument/2006/relationships/control" Target="../activeX/activeX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1.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10.xml"/><Relationship Id="rId5" Type="http://schemas.openxmlformats.org/officeDocument/2006/relationships/image" Target="../media/image10.emf"/><Relationship Id="rId4" Type="http://schemas.openxmlformats.org/officeDocument/2006/relationships/control" Target="../activeX/activeX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O38"/>
  <sheetViews>
    <sheetView showRowColHeaders="0" tabSelected="1" zoomScale="200" zoomScaleNormal="200" workbookViewId="0">
      <selection activeCell="C4" sqref="C4"/>
    </sheetView>
  </sheetViews>
  <sheetFormatPr defaultColWidth="0" defaultRowHeight="12.75" zeroHeight="1" x14ac:dyDescent="0.2"/>
  <cols>
    <col min="1" max="1" width="9.140625" customWidth="1"/>
    <col min="2" max="2" width="37.28515625" bestFit="1" customWidth="1"/>
    <col min="3" max="3" width="15.5703125" customWidth="1"/>
    <col min="4" max="4" width="3.42578125" customWidth="1"/>
    <col min="5" max="5" width="9.42578125" customWidth="1"/>
    <col min="6" max="12" width="9.140625" hidden="1" customWidth="1"/>
    <col min="13" max="13" width="13.28515625" hidden="1" customWidth="1"/>
    <col min="14" max="14" width="27.140625" hidden="1" customWidth="1"/>
    <col min="15" max="15" width="37.28515625" hidden="1" customWidth="1"/>
    <col min="16" max="16384" width="9.140625" hidden="1"/>
  </cols>
  <sheetData>
    <row r="1" spans="1:15" ht="69" customHeight="1" x14ac:dyDescent="0.2">
      <c r="A1" s="900"/>
      <c r="B1" s="900"/>
      <c r="C1" s="900"/>
      <c r="M1" s="107" t="s">
        <v>1304</v>
      </c>
      <c r="N1" s="107" t="s">
        <v>1307</v>
      </c>
      <c r="O1" s="107" t="s">
        <v>1307</v>
      </c>
    </row>
    <row r="2" spans="1:15" ht="57.75" customHeight="1" x14ac:dyDescent="0.45">
      <c r="A2" s="901" t="s">
        <v>1309</v>
      </c>
      <c r="B2" s="902"/>
      <c r="C2" s="902"/>
      <c r="D2" s="902"/>
      <c r="E2" s="902"/>
      <c r="M2" s="107" t="s">
        <v>1141</v>
      </c>
      <c r="N2" s="107" t="s">
        <v>1300</v>
      </c>
      <c r="O2" s="107" t="s">
        <v>1300</v>
      </c>
    </row>
    <row r="3" spans="1:15" x14ac:dyDescent="0.2">
      <c r="A3" s="905"/>
      <c r="B3" s="900"/>
      <c r="C3" s="900"/>
      <c r="D3" s="900"/>
      <c r="E3" s="900"/>
      <c r="N3" s="360" t="s">
        <v>1298</v>
      </c>
      <c r="O3" s="107" t="s">
        <v>1298</v>
      </c>
    </row>
    <row r="4" spans="1:15" x14ac:dyDescent="0.2">
      <c r="A4" s="906" t="s">
        <v>1305</v>
      </c>
      <c r="B4" s="900"/>
      <c r="C4" s="368" t="s">
        <v>1304</v>
      </c>
      <c r="D4" s="905"/>
      <c r="E4" s="900"/>
      <c r="N4" s="107" t="s">
        <v>1299</v>
      </c>
      <c r="O4" s="107" t="s">
        <v>1299</v>
      </c>
    </row>
    <row r="5" spans="1:15" hidden="1" x14ac:dyDescent="0.2">
      <c r="A5" s="906" t="s">
        <v>1306</v>
      </c>
      <c r="B5" s="900"/>
      <c r="C5" s="370"/>
      <c r="D5" s="905"/>
      <c r="E5" s="900"/>
      <c r="N5" s="107" t="s">
        <v>1140</v>
      </c>
      <c r="O5" s="107" t="s">
        <v>1308</v>
      </c>
    </row>
    <row r="6" spans="1:15" ht="29.25" customHeight="1" thickBot="1" x14ac:dyDescent="0.25">
      <c r="A6" s="905"/>
      <c r="B6" s="900"/>
      <c r="C6" s="900"/>
      <c r="D6" s="900"/>
      <c r="E6" s="900"/>
      <c r="O6" s="107" t="s">
        <v>1140</v>
      </c>
    </row>
    <row r="7" spans="1:15" ht="27" customHeight="1" x14ac:dyDescent="0.2">
      <c r="A7" s="361"/>
      <c r="B7" s="903" t="s">
        <v>1310</v>
      </c>
      <c r="C7" s="904"/>
      <c r="D7" s="899"/>
      <c r="E7" s="900"/>
      <c r="O7" s="107" t="s">
        <v>1301</v>
      </c>
    </row>
    <row r="8" spans="1:15" hidden="1" x14ac:dyDescent="0.2">
      <c r="A8" s="361"/>
      <c r="B8" s="363"/>
      <c r="C8" s="364"/>
      <c r="D8" s="361"/>
      <c r="E8" s="361"/>
      <c r="O8" s="107" t="s">
        <v>1302</v>
      </c>
    </row>
    <row r="9" spans="1:15" hidden="1" x14ac:dyDescent="0.2">
      <c r="A9" s="361"/>
      <c r="B9" s="365"/>
      <c r="C9" s="364"/>
      <c r="D9" s="361"/>
      <c r="E9" s="361"/>
      <c r="O9" s="107" t="s">
        <v>1303</v>
      </c>
    </row>
    <row r="10" spans="1:15" hidden="1" x14ac:dyDescent="0.2">
      <c r="A10" s="361"/>
      <c r="B10" s="365"/>
      <c r="C10" s="364"/>
      <c r="D10" s="361"/>
      <c r="E10" s="361"/>
    </row>
    <row r="11" spans="1:15" hidden="1" x14ac:dyDescent="0.2">
      <c r="A11" s="361"/>
      <c r="B11" s="365"/>
      <c r="C11" s="364"/>
      <c r="D11" s="361"/>
      <c r="E11" s="361"/>
    </row>
    <row r="12" spans="1:15" x14ac:dyDescent="0.2">
      <c r="A12" s="361"/>
      <c r="B12" s="379" t="s">
        <v>1666</v>
      </c>
      <c r="C12" s="364"/>
      <c r="D12" s="899"/>
      <c r="E12" s="900"/>
    </row>
    <row r="13" spans="1:15" x14ac:dyDescent="0.2">
      <c r="A13" s="361"/>
      <c r="B13" s="868" t="s">
        <v>1299</v>
      </c>
      <c r="C13" s="364"/>
      <c r="D13" s="899"/>
      <c r="E13" s="900"/>
    </row>
    <row r="14" spans="1:15" hidden="1" x14ac:dyDescent="0.2">
      <c r="A14" s="361"/>
      <c r="B14" s="369" t="s">
        <v>1308</v>
      </c>
      <c r="C14" s="364"/>
      <c r="D14" s="899"/>
      <c r="E14" s="900"/>
    </row>
    <row r="15" spans="1:15" x14ac:dyDescent="0.2">
      <c r="A15" s="361"/>
      <c r="B15" s="369" t="s">
        <v>1140</v>
      </c>
      <c r="C15" s="364"/>
      <c r="D15" s="899"/>
      <c r="E15" s="900"/>
    </row>
    <row r="16" spans="1:15" hidden="1" x14ac:dyDescent="0.2">
      <c r="A16" s="362"/>
      <c r="B16" s="907" t="s">
        <v>1665</v>
      </c>
      <c r="C16" s="908"/>
      <c r="D16" s="899"/>
      <c r="E16" s="900"/>
    </row>
    <row r="17" spans="1:5" hidden="1" x14ac:dyDescent="0.2">
      <c r="A17" s="362"/>
      <c r="B17" s="369" t="s">
        <v>1302</v>
      </c>
      <c r="C17" s="364"/>
      <c r="D17" s="899"/>
      <c r="E17" s="900"/>
    </row>
    <row r="18" spans="1:5" hidden="1" x14ac:dyDescent="0.2">
      <c r="A18" s="362"/>
      <c r="B18" s="369" t="s">
        <v>1303</v>
      </c>
      <c r="C18" s="364"/>
      <c r="D18" s="899"/>
      <c r="E18" s="900"/>
    </row>
    <row r="19" spans="1:5" x14ac:dyDescent="0.2">
      <c r="A19" s="361"/>
      <c r="B19" s="870" t="s">
        <v>1667</v>
      </c>
      <c r="C19" s="364"/>
      <c r="D19" s="899"/>
      <c r="E19" s="900"/>
    </row>
    <row r="20" spans="1:5" ht="13.5" thickBot="1" x14ac:dyDescent="0.25">
      <c r="A20" s="867"/>
      <c r="B20" s="366"/>
      <c r="C20" s="367"/>
      <c r="D20" s="365"/>
      <c r="E20" s="364"/>
    </row>
    <row r="21" spans="1:5" x14ac:dyDescent="0.2">
      <c r="A21" s="905"/>
      <c r="B21" s="900"/>
      <c r="C21" s="900"/>
      <c r="D21" s="900"/>
      <c r="E21" s="900"/>
    </row>
    <row r="22" spans="1:5" x14ac:dyDescent="0.2">
      <c r="A22" s="905"/>
      <c r="B22" s="900"/>
      <c r="C22" s="900"/>
      <c r="D22" s="900"/>
      <c r="E22" s="900"/>
    </row>
    <row r="23" spans="1:5" x14ac:dyDescent="0.2">
      <c r="A23" s="905"/>
      <c r="B23" s="900"/>
      <c r="C23" s="900"/>
      <c r="D23" s="900"/>
      <c r="E23" s="900"/>
    </row>
    <row r="24" spans="1:5" x14ac:dyDescent="0.2">
      <c r="A24" s="905"/>
      <c r="B24" s="900"/>
      <c r="C24" s="900"/>
      <c r="D24" s="900"/>
      <c r="E24" s="900"/>
    </row>
    <row r="25" spans="1:5" x14ac:dyDescent="0.2">
      <c r="A25" s="905"/>
      <c r="B25" s="900"/>
      <c r="C25" s="900"/>
      <c r="D25" s="900"/>
      <c r="E25" s="900"/>
    </row>
    <row r="26" spans="1:5" x14ac:dyDescent="0.2">
      <c r="A26" s="905"/>
      <c r="B26" s="900"/>
      <c r="C26" s="900"/>
      <c r="D26" s="900"/>
      <c r="E26" s="900"/>
    </row>
    <row r="27" spans="1:5" x14ac:dyDescent="0.2">
      <c r="A27" s="361"/>
      <c r="B27" s="361"/>
      <c r="C27" s="361"/>
      <c r="D27" s="361"/>
      <c r="E27" s="361"/>
    </row>
    <row r="28" spans="1:5" x14ac:dyDescent="0.2">
      <c r="A28" s="361"/>
      <c r="B28" s="361"/>
      <c r="C28" s="361"/>
      <c r="D28" s="361"/>
      <c r="E28" s="361"/>
    </row>
    <row r="29" spans="1:5" x14ac:dyDescent="0.2">
      <c r="A29" s="361"/>
      <c r="B29" s="361"/>
      <c r="C29" s="361"/>
      <c r="D29" s="361"/>
      <c r="E29" s="361"/>
    </row>
    <row r="30" spans="1:5" x14ac:dyDescent="0.2">
      <c r="A30" s="361"/>
      <c r="B30" s="361"/>
      <c r="C30" s="361"/>
      <c r="D30" s="361"/>
      <c r="E30" s="361"/>
    </row>
    <row r="31" spans="1:5" x14ac:dyDescent="0.2">
      <c r="A31" s="361"/>
      <c r="B31" s="361"/>
      <c r="C31" s="361"/>
      <c r="D31" s="361"/>
      <c r="E31" s="361"/>
    </row>
    <row r="32" spans="1:5" hidden="1" x14ac:dyDescent="0.2">
      <c r="A32" s="361"/>
      <c r="B32" s="361"/>
      <c r="C32" s="361"/>
      <c r="D32" s="361"/>
      <c r="E32" s="361"/>
    </row>
    <row r="33" spans="1:5" hidden="1" x14ac:dyDescent="0.2">
      <c r="A33" s="361"/>
      <c r="B33" s="361"/>
      <c r="C33" s="361"/>
      <c r="D33" s="361"/>
      <c r="E33" s="361"/>
    </row>
    <row r="34" spans="1:5" hidden="1" x14ac:dyDescent="0.2">
      <c r="A34" s="361"/>
      <c r="B34" s="361"/>
      <c r="C34" s="361"/>
      <c r="D34" s="361"/>
      <c r="E34" s="361"/>
    </row>
    <row r="35" spans="1:5" hidden="1" x14ac:dyDescent="0.2">
      <c r="A35" s="361"/>
      <c r="B35" s="361"/>
      <c r="C35" s="361"/>
      <c r="D35" s="361"/>
      <c r="E35" s="361"/>
    </row>
    <row r="36" spans="1:5" hidden="1" x14ac:dyDescent="0.2">
      <c r="A36" s="361"/>
      <c r="B36" s="361"/>
      <c r="C36" s="361"/>
      <c r="D36" s="361"/>
      <c r="E36" s="361"/>
    </row>
    <row r="37" spans="1:5" hidden="1" x14ac:dyDescent="0.2">
      <c r="A37" s="361"/>
      <c r="B37" s="361"/>
      <c r="C37" s="361"/>
      <c r="D37" s="361"/>
      <c r="E37" s="361"/>
    </row>
    <row r="38" spans="1:5" hidden="1" x14ac:dyDescent="0.2">
      <c r="A38" s="361"/>
      <c r="B38" s="361"/>
      <c r="C38" s="361"/>
      <c r="D38" s="361"/>
      <c r="E38" s="361"/>
    </row>
  </sheetData>
  <sheetProtection password="CA6B" sheet="1" objects="1" scenarios="1" selectLockedCells="1"/>
  <mergeCells count="25">
    <mergeCell ref="B16:C16"/>
    <mergeCell ref="A24:E24"/>
    <mergeCell ref="A25:E25"/>
    <mergeCell ref="A26:E26"/>
    <mergeCell ref="D18:E18"/>
    <mergeCell ref="D19:E19"/>
    <mergeCell ref="A21:E21"/>
    <mergeCell ref="A22:E22"/>
    <mergeCell ref="A23:E23"/>
    <mergeCell ref="D17:E17"/>
    <mergeCell ref="A1:C1"/>
    <mergeCell ref="A2:E2"/>
    <mergeCell ref="B7:C7"/>
    <mergeCell ref="A6:E6"/>
    <mergeCell ref="A3:E3"/>
    <mergeCell ref="A4:B4"/>
    <mergeCell ref="A5:B5"/>
    <mergeCell ref="D4:E4"/>
    <mergeCell ref="D5:E5"/>
    <mergeCell ref="D7:E7"/>
    <mergeCell ref="D12:E12"/>
    <mergeCell ref="D13:E13"/>
    <mergeCell ref="D14:E14"/>
    <mergeCell ref="D15:E15"/>
    <mergeCell ref="D16:E16"/>
  </mergeCells>
  <dataValidations count="2">
    <dataValidation type="list" allowBlank="1" showInputMessage="1" showErrorMessage="1" sqref="C4">
      <formula1>Access</formula1>
    </dataValidation>
    <dataValidation type="list" allowBlank="1" showInputMessage="1" showErrorMessage="1" sqref="C8">
      <formula1>StaffTool</formula1>
    </dataValidation>
  </dataValidations>
  <hyperlinks>
    <hyperlink ref="N3" location="'Fee Calculator'!C12" display="Fee Calculator"/>
    <hyperlink ref="B13" location="'Lodgement Checklist'!E3" display="Lodgement Checklist"/>
    <hyperlink ref="B14" location="'P&amp;R Charges Index'!C4" display="P&amp;R Charges Index"/>
    <hyperlink ref="B15" location="'Cost of Development Estimator'!G6" display="Cost of Development Estimator"/>
    <hyperlink ref="B17" location="'Old Contributions Calculator'!A1" display="Old Contributions Calculator"/>
    <hyperlink ref="B18" location="'BAL Calculator'!A1" display="BAL Calculator"/>
    <hyperlink ref="B12" location="'Fee Calculator'!C12" display="Fee Calculator"/>
    <hyperlink ref="B16" r:id="rId1"/>
    <hyperlink ref="B16:C16" r:id="rId2" display="Development Contributions Calculator 2018-2019"/>
    <hyperlink ref="B19" location="'Advert Guide'!A1" display="Advertising/Notification Guidelines"/>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4" r:id="rId6" name="CommandButton1">
          <controlPr defaultSize="0" autoLine="0" r:id="rId7">
            <anchor moveWithCells="1">
              <from>
                <xdr:col>1</xdr:col>
                <xdr:colOff>0</xdr:colOff>
                <xdr:row>5</xdr:row>
                <xdr:rowOff>209550</xdr:rowOff>
              </from>
              <to>
                <xdr:col>2</xdr:col>
                <xdr:colOff>1028700</xdr:colOff>
                <xdr:row>5</xdr:row>
                <xdr:rowOff>285750</xdr:rowOff>
              </to>
            </anchor>
          </controlPr>
        </control>
      </mc:Choice>
      <mc:Fallback>
        <control shapeId="3074" r:id="rId6" name="CommandButto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outlinePr applyStyles="1"/>
    <pageSetUpPr fitToPage="1"/>
  </sheetPr>
  <dimension ref="A1:BZ336"/>
  <sheetViews>
    <sheetView showRowColHeaders="0" topLeftCell="A8" zoomScale="140" zoomScaleNormal="140" workbookViewId="0">
      <selection activeCell="C13" sqref="C13:D13"/>
    </sheetView>
  </sheetViews>
  <sheetFormatPr defaultColWidth="0" defaultRowHeight="12.75" zeroHeight="1" x14ac:dyDescent="0.2"/>
  <cols>
    <col min="1" max="1" width="0.7109375" customWidth="1"/>
    <col min="2" max="2" width="36.28515625" customWidth="1"/>
    <col min="3" max="3" width="7.42578125" customWidth="1"/>
    <col min="4" max="4" width="8.28515625" customWidth="1"/>
    <col min="5" max="5" width="3.42578125" customWidth="1"/>
    <col min="6" max="6" width="12.85546875" customWidth="1"/>
    <col min="7" max="7" width="13.42578125" customWidth="1"/>
    <col min="8" max="8" width="14" customWidth="1"/>
    <col min="9" max="9" width="6.140625" customWidth="1"/>
    <col min="10" max="10" width="0.7109375" customWidth="1"/>
    <col min="11" max="11" width="28" hidden="1" customWidth="1"/>
    <col min="12" max="12" width="52.140625" hidden="1" customWidth="1"/>
    <col min="13" max="15" width="28" hidden="1" customWidth="1"/>
    <col min="16" max="16" width="38.85546875" hidden="1" customWidth="1"/>
    <col min="17" max="51" width="28" hidden="1" customWidth="1"/>
    <col min="52" max="52" width="11.7109375" hidden="1" customWidth="1"/>
    <col min="53" max="53" width="13.85546875" hidden="1" customWidth="1"/>
    <col min="54" max="54" width="21.28515625" hidden="1" customWidth="1"/>
    <col min="55" max="55" width="16.85546875" hidden="1" customWidth="1"/>
    <col min="56" max="56" width="39.5703125" hidden="1" customWidth="1"/>
    <col min="57" max="57" width="40.7109375" hidden="1" customWidth="1"/>
    <col min="58" max="58" width="41.42578125" hidden="1" customWidth="1"/>
    <col min="59" max="59" width="11.85546875" hidden="1" customWidth="1"/>
    <col min="60" max="60" width="15.42578125" hidden="1" customWidth="1"/>
    <col min="61" max="16384" width="28" hidden="1"/>
  </cols>
  <sheetData>
    <row r="1" spans="1:78" hidden="1" x14ac:dyDescent="0.2">
      <c r="A1" s="7" t="s">
        <v>1492</v>
      </c>
      <c r="B1" s="18"/>
      <c r="C1" s="7"/>
      <c r="D1" s="7"/>
      <c r="E1" s="7"/>
      <c r="F1" s="7"/>
      <c r="G1" s="7"/>
      <c r="H1" s="7"/>
      <c r="I1" s="10"/>
      <c r="J1" s="11"/>
      <c r="K1" s="1"/>
      <c r="L1" s="45" t="s">
        <v>22</v>
      </c>
      <c r="M1" s="45"/>
      <c r="N1" s="68" t="s">
        <v>55</v>
      </c>
      <c r="O1" s="1"/>
      <c r="P1" s="17" t="s">
        <v>58</v>
      </c>
      <c r="Q1" s="1" t="str">
        <f>IF(C23=Variables!H3,1,"")</f>
        <v/>
      </c>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t="str">
        <f>IF(C15=Variables!E17,1,"")</f>
        <v/>
      </c>
      <c r="BB1" s="87"/>
      <c r="BC1" s="87" t="s">
        <v>38</v>
      </c>
      <c r="BD1" s="87" t="s">
        <v>39</v>
      </c>
      <c r="BE1" s="866" t="s">
        <v>1650</v>
      </c>
      <c r="BF1" s="866" t="s">
        <v>1649</v>
      </c>
      <c r="BG1" s="87" t="s">
        <v>40</v>
      </c>
      <c r="BH1" s="87" t="s">
        <v>41</v>
      </c>
      <c r="BI1" s="866" t="s">
        <v>1651</v>
      </c>
      <c r="BJ1" s="87" t="s">
        <v>42</v>
      </c>
      <c r="BK1" s="87" t="s">
        <v>43</v>
      </c>
      <c r="BL1" s="88" t="s">
        <v>87</v>
      </c>
      <c r="BM1" s="88" t="s">
        <v>95</v>
      </c>
      <c r="BN1" s="88" t="s">
        <v>100</v>
      </c>
      <c r="BO1" s="1"/>
      <c r="BP1" s="1"/>
      <c r="BQ1" s="1"/>
      <c r="BR1" s="1"/>
      <c r="BS1" s="1"/>
      <c r="BT1" s="1"/>
      <c r="BU1" s="1"/>
      <c r="BV1" s="1"/>
      <c r="BW1" s="1"/>
      <c r="BX1" s="1"/>
      <c r="BY1" s="1"/>
      <c r="BZ1" s="1"/>
    </row>
    <row r="2" spans="1:78" s="892" customFormat="1" ht="6" customHeight="1" x14ac:dyDescent="0.2">
      <c r="A2" s="876"/>
      <c r="B2" s="877"/>
      <c r="C2" s="876"/>
      <c r="D2" s="876"/>
      <c r="E2" s="876"/>
      <c r="F2" s="876"/>
      <c r="G2" s="876"/>
      <c r="H2" s="876"/>
      <c r="I2" s="884"/>
      <c r="J2" s="885"/>
      <c r="K2" s="886"/>
      <c r="L2" s="886" t="s">
        <v>23</v>
      </c>
      <c r="M2" s="886"/>
      <c r="N2" s="887" t="s">
        <v>57</v>
      </c>
      <c r="O2" s="886"/>
      <c r="P2" s="886" t="s">
        <v>56</v>
      </c>
      <c r="Q2" s="886" t="str">
        <f>IF(C23=Variables!H4,1,"")</f>
        <v/>
      </c>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c r="AV2" s="886"/>
      <c r="AW2" s="886"/>
      <c r="AX2" s="886"/>
      <c r="AY2" s="886"/>
      <c r="AZ2" s="886"/>
      <c r="BA2" s="888"/>
      <c r="BB2" s="889" t="str">
        <f>IF(C15=Variables!E2,"Y","N")</f>
        <v>N</v>
      </c>
      <c r="BC2" s="890">
        <v>1</v>
      </c>
      <c r="BD2" s="890">
        <v>1</v>
      </c>
      <c r="BE2" s="890">
        <v>1</v>
      </c>
      <c r="BF2" s="890">
        <v>1</v>
      </c>
      <c r="BG2" s="890">
        <v>1</v>
      </c>
      <c r="BH2" s="890">
        <v>1</v>
      </c>
      <c r="BI2" s="890">
        <v>1</v>
      </c>
      <c r="BJ2" s="890">
        <v>1</v>
      </c>
      <c r="BK2" s="890">
        <f>IF(C34&lt;&gt;"Yes",1,0)</f>
        <v>1</v>
      </c>
      <c r="BL2" s="891">
        <v>1</v>
      </c>
      <c r="BM2" s="891">
        <v>1</v>
      </c>
      <c r="BN2" s="891">
        <v>1</v>
      </c>
      <c r="BO2" s="886"/>
      <c r="BP2" s="886"/>
      <c r="BQ2" s="886"/>
      <c r="BR2" s="886"/>
      <c r="BS2" s="886"/>
      <c r="BT2" s="886"/>
      <c r="BU2" s="886"/>
      <c r="BV2" s="886"/>
      <c r="BW2" s="886"/>
      <c r="BX2" s="886"/>
      <c r="BY2" s="886"/>
      <c r="BZ2" s="886"/>
    </row>
    <row r="3" spans="1:78" s="892" customFormat="1" x14ac:dyDescent="0.2">
      <c r="A3" s="876"/>
      <c r="B3" s="883" t="s">
        <v>1692</v>
      </c>
      <c r="C3" s="876"/>
      <c r="D3" s="876"/>
      <c r="E3" s="876"/>
      <c r="F3" s="876"/>
      <c r="G3" s="876"/>
      <c r="H3" s="876"/>
      <c r="I3" s="884"/>
      <c r="J3" s="885"/>
      <c r="K3" s="886"/>
      <c r="L3" s="886"/>
      <c r="M3" s="886"/>
      <c r="N3" s="887" t="s">
        <v>56</v>
      </c>
      <c r="O3" s="886"/>
      <c r="P3" s="886" t="s">
        <v>31</v>
      </c>
      <c r="Q3" s="886" t="str">
        <f>IF(C23=Variables!H5,1,"")</f>
        <v/>
      </c>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c r="AW3" s="886"/>
      <c r="AX3" s="886"/>
      <c r="AY3" s="886"/>
      <c r="AZ3" s="886"/>
      <c r="BA3" s="893"/>
      <c r="BB3" s="889" t="str">
        <f>IF(AND(BC35=1,C13&gt;250000),"Y","N")</f>
        <v>N</v>
      </c>
      <c r="BC3" s="890"/>
      <c r="BD3" s="890"/>
      <c r="BE3" s="890"/>
      <c r="BF3" s="890"/>
      <c r="BG3" s="890"/>
      <c r="BH3" s="890"/>
      <c r="BI3" s="890"/>
      <c r="BJ3" s="890"/>
      <c r="BK3" s="890"/>
      <c r="BL3" s="891"/>
      <c r="BM3" s="891"/>
      <c r="BN3" s="891">
        <v>1</v>
      </c>
      <c r="BO3" s="886"/>
      <c r="BP3" s="886"/>
      <c r="BQ3" s="886"/>
      <c r="BR3" s="886"/>
      <c r="BS3" s="886"/>
      <c r="BT3" s="886"/>
      <c r="BU3" s="886"/>
      <c r="BV3" s="886"/>
      <c r="BW3" s="886"/>
      <c r="BX3" s="886"/>
      <c r="BY3" s="886"/>
      <c r="BZ3" s="886"/>
    </row>
    <row r="4" spans="1:78" s="892" customFormat="1" ht="12" customHeight="1" thickBot="1" x14ac:dyDescent="0.25">
      <c r="A4" s="876"/>
      <c r="B4" s="992" t="s">
        <v>1688</v>
      </c>
      <c r="C4" s="900"/>
      <c r="D4" s="989" t="str">
        <f>IFERROR(B3*1.1,"")</f>
        <v/>
      </c>
      <c r="E4" s="990"/>
      <c r="F4" s="881" t="s">
        <v>1684</v>
      </c>
      <c r="G4" s="897" t="str">
        <f>IFERROR(D4-B3,"")</f>
        <v/>
      </c>
      <c r="H4" s="876"/>
      <c r="I4" s="884"/>
      <c r="J4" s="885"/>
      <c r="K4" s="886"/>
      <c r="L4" s="886"/>
      <c r="M4" s="886"/>
      <c r="N4" s="887" t="s">
        <v>31</v>
      </c>
      <c r="O4" s="886"/>
      <c r="P4" s="886" t="s">
        <v>27</v>
      </c>
      <c r="Q4" s="886" t="str">
        <f>IF(C15="DA - Subdivision (New Roads)",1,"")</f>
        <v/>
      </c>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86"/>
      <c r="AR4" s="886"/>
      <c r="AS4" s="886"/>
      <c r="AT4" s="886"/>
      <c r="AU4" s="886"/>
      <c r="AV4" s="886"/>
      <c r="AW4" s="886"/>
      <c r="AX4" s="886"/>
      <c r="AY4" s="886"/>
      <c r="AZ4" s="886"/>
      <c r="BA4" s="888"/>
      <c r="BB4" s="889" t="str">
        <f>IF(AND(BC35=1,C13&lt;250000),"Y","N")</f>
        <v>N</v>
      </c>
      <c r="BC4" s="890">
        <v>1</v>
      </c>
      <c r="BD4" s="890">
        <v>1</v>
      </c>
      <c r="BE4" s="890">
        <v>1</v>
      </c>
      <c r="BF4" s="890">
        <v>1</v>
      </c>
      <c r="BG4" s="890">
        <v>1</v>
      </c>
      <c r="BH4" s="890">
        <v>1</v>
      </c>
      <c r="BI4" s="890">
        <v>1</v>
      </c>
      <c r="BJ4" s="890">
        <v>1</v>
      </c>
      <c r="BK4" s="890">
        <f>IF(C34&lt;&gt;"Yes",1,0)</f>
        <v>1</v>
      </c>
      <c r="BL4" s="894">
        <v>1</v>
      </c>
      <c r="BM4" s="894">
        <v>1</v>
      </c>
      <c r="BN4" s="894">
        <v>1</v>
      </c>
      <c r="BO4" s="886"/>
      <c r="BP4" s="886"/>
      <c r="BQ4" s="886"/>
      <c r="BR4" s="886"/>
      <c r="BS4" s="886"/>
      <c r="BT4" s="886"/>
      <c r="BU4" s="886"/>
      <c r="BV4" s="886"/>
      <c r="BW4" s="886"/>
      <c r="BX4" s="886"/>
      <c r="BY4" s="886"/>
      <c r="BZ4" s="886"/>
    </row>
    <row r="5" spans="1:78" s="892" customFormat="1" ht="12.75" customHeight="1" thickTop="1" thickBot="1" x14ac:dyDescent="0.25">
      <c r="A5" s="873"/>
      <c r="B5" s="992" t="s">
        <v>1689</v>
      </c>
      <c r="C5" s="900"/>
      <c r="D5" s="991" t="str">
        <f>IFERROR(B3-(B3*0.090909),"")</f>
        <v/>
      </c>
      <c r="E5" s="991"/>
      <c r="F5" s="896" t="s">
        <v>1684</v>
      </c>
      <c r="G5" s="898" t="str">
        <f>IFERROR(B3*0.090909,"")</f>
        <v/>
      </c>
      <c r="H5" s="874"/>
      <c r="I5" s="993"/>
      <c r="J5" s="994"/>
      <c r="K5" s="886"/>
      <c r="L5" s="886"/>
      <c r="M5" s="886"/>
      <c r="N5" s="887"/>
      <c r="O5" s="886"/>
      <c r="P5" s="886" t="s">
        <v>28</v>
      </c>
      <c r="Q5" s="886" t="str">
        <f>IF(C15="DA - Subdivision (No New Roads)",1,"")</f>
        <v/>
      </c>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8"/>
      <c r="BB5" s="889" t="str">
        <f>IF(C15=Variables!E8,"Y","N")</f>
        <v>N</v>
      </c>
      <c r="BC5" s="890">
        <v>1</v>
      </c>
      <c r="BD5" s="890">
        <v>1</v>
      </c>
      <c r="BE5" s="890">
        <v>1</v>
      </c>
      <c r="BF5" s="890">
        <v>1</v>
      </c>
      <c r="BG5" s="890">
        <v>1</v>
      </c>
      <c r="BH5" s="890">
        <v>1</v>
      </c>
      <c r="BI5" s="890">
        <v>1</v>
      </c>
      <c r="BJ5" s="890">
        <v>1</v>
      </c>
      <c r="BK5" s="890">
        <f>IF(C34&lt;&gt;"Yes",1,0)</f>
        <v>1</v>
      </c>
      <c r="BL5" s="891">
        <v>1</v>
      </c>
      <c r="BM5" s="891">
        <v>1</v>
      </c>
      <c r="BN5" s="891">
        <v>1</v>
      </c>
      <c r="BO5" s="886"/>
      <c r="BP5" s="886"/>
      <c r="BQ5" s="886"/>
      <c r="BR5" s="886"/>
      <c r="BS5" s="886"/>
      <c r="BT5" s="886"/>
      <c r="BU5" s="886"/>
      <c r="BV5" s="886"/>
      <c r="BW5" s="886"/>
      <c r="BX5" s="886"/>
      <c r="BY5" s="886"/>
      <c r="BZ5" s="886"/>
    </row>
    <row r="6" spans="1:78" s="892" customFormat="1" ht="12" customHeight="1" thickTop="1" thickBot="1" x14ac:dyDescent="0.25">
      <c r="A6" s="880"/>
      <c r="B6" s="882"/>
      <c r="C6" s="878"/>
      <c r="D6" s="976"/>
      <c r="E6" s="976"/>
      <c r="F6" s="879"/>
      <c r="G6" s="879"/>
      <c r="H6" s="879"/>
      <c r="I6" s="895"/>
      <c r="J6" s="895"/>
      <c r="K6" s="886"/>
      <c r="L6" s="886"/>
      <c r="M6" s="886"/>
      <c r="N6" s="887"/>
      <c r="O6" s="886"/>
      <c r="P6" s="886" t="s">
        <v>31</v>
      </c>
      <c r="Q6" s="886" t="str">
        <f>IF(C15="DA - Strata Subdivision",1,"")</f>
        <v/>
      </c>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6"/>
      <c r="AY6" s="886"/>
      <c r="AZ6" s="886"/>
      <c r="BA6" s="888"/>
      <c r="BB6" s="889" t="str">
        <f>IF(C15=Variables!E9,"Y","N")</f>
        <v>N</v>
      </c>
      <c r="BC6" s="890">
        <v>1</v>
      </c>
      <c r="BD6" s="890">
        <v>1</v>
      </c>
      <c r="BE6" s="890">
        <v>1</v>
      </c>
      <c r="BF6" s="890">
        <v>1</v>
      </c>
      <c r="BG6" s="890">
        <v>1</v>
      </c>
      <c r="BH6" s="890">
        <v>1</v>
      </c>
      <c r="BI6" s="890">
        <v>1</v>
      </c>
      <c r="BJ6" s="890">
        <v>1</v>
      </c>
      <c r="BK6" s="890">
        <f>IF(C34&lt;&gt;"Yes",1,0)</f>
        <v>1</v>
      </c>
      <c r="BL6" s="891">
        <v>1</v>
      </c>
      <c r="BM6" s="891">
        <v>1</v>
      </c>
      <c r="BN6" s="891">
        <v>1</v>
      </c>
      <c r="BO6" s="886"/>
      <c r="BP6" s="886"/>
      <c r="BQ6" s="886"/>
      <c r="BR6" s="886"/>
      <c r="BS6" s="886"/>
      <c r="BT6" s="886"/>
      <c r="BU6" s="886"/>
      <c r="BV6" s="886"/>
      <c r="BW6" s="886"/>
      <c r="BX6" s="886"/>
      <c r="BY6" s="886"/>
      <c r="BZ6" s="886"/>
    </row>
    <row r="7" spans="1:78" ht="4.5" customHeight="1" thickTop="1" x14ac:dyDescent="0.2">
      <c r="A7" s="974"/>
      <c r="B7" s="975"/>
      <c r="C7" s="975"/>
      <c r="D7" s="975"/>
      <c r="E7" s="975"/>
      <c r="F7" s="975"/>
      <c r="G7" s="975"/>
      <c r="H7" s="975"/>
      <c r="I7" s="974"/>
      <c r="J7" s="975"/>
      <c r="K7" s="1"/>
      <c r="L7" s="1"/>
      <c r="M7" s="1" t="str">
        <f>IF(C23="Yes - with New Roads", 1,"")</f>
        <v/>
      </c>
      <c r="N7" s="69"/>
      <c r="O7" s="1"/>
      <c r="P7" s="1"/>
      <c r="Q7" s="1">
        <f>SUM(Q1:Q6)</f>
        <v>0</v>
      </c>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9"/>
      <c r="BB7" s="89" t="str">
        <f>IF(C15=Variables!E10,"Y","N")</f>
        <v>N</v>
      </c>
      <c r="BC7" s="87">
        <v>1</v>
      </c>
      <c r="BD7" s="87">
        <v>1</v>
      </c>
      <c r="BE7" s="87">
        <v>1</v>
      </c>
      <c r="BF7" s="87">
        <v>1</v>
      </c>
      <c r="BG7" s="87">
        <v>1</v>
      </c>
      <c r="BH7" s="87">
        <v>1</v>
      </c>
      <c r="BI7" s="87">
        <v>1</v>
      </c>
      <c r="BJ7" s="87">
        <v>1</v>
      </c>
      <c r="BK7" s="87">
        <f>IF(C34&lt;&gt;"Yes",1,0)</f>
        <v>1</v>
      </c>
      <c r="BL7" s="90">
        <v>1</v>
      </c>
      <c r="BM7" s="90">
        <v>1</v>
      </c>
      <c r="BN7" s="90">
        <v>1</v>
      </c>
      <c r="BO7" s="1"/>
      <c r="BP7" s="1"/>
      <c r="BQ7" s="1"/>
      <c r="BR7" s="1"/>
      <c r="BS7" s="1"/>
      <c r="BT7" s="1"/>
      <c r="BU7" s="1"/>
      <c r="BV7" s="1"/>
      <c r="BW7" s="1"/>
      <c r="BX7" s="1"/>
      <c r="BY7" s="1"/>
      <c r="BZ7" s="1"/>
    </row>
    <row r="8" spans="1:78" ht="24" customHeight="1" x14ac:dyDescent="0.2">
      <c r="A8" s="66"/>
      <c r="B8" s="940" t="str">
        <f>Variables!Q3</f>
        <v xml:space="preserve">2019/2020 Fee Estimator  </v>
      </c>
      <c r="C8" s="941"/>
      <c r="D8" s="941"/>
      <c r="E8" s="941"/>
      <c r="F8" s="941"/>
      <c r="G8" s="941"/>
      <c r="H8" s="941"/>
      <c r="I8" s="941"/>
      <c r="J8" s="44"/>
      <c r="K8" s="1"/>
      <c r="L8" s="1"/>
      <c r="M8" s="1"/>
      <c r="N8" s="69"/>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8"/>
      <c r="BB8" s="89" t="str">
        <f>IF(C15=Variables!E11,"Y","N")</f>
        <v>N</v>
      </c>
      <c r="BC8" s="87"/>
      <c r="BD8" s="87"/>
      <c r="BE8" s="87"/>
      <c r="BF8" s="87">
        <v>1</v>
      </c>
      <c r="BG8" s="87">
        <v>1</v>
      </c>
      <c r="BH8" s="87"/>
      <c r="BI8" s="87"/>
      <c r="BJ8" s="87"/>
      <c r="BK8" s="87"/>
      <c r="BL8" s="90"/>
      <c r="BM8" s="90"/>
      <c r="BN8" s="90"/>
      <c r="BO8" s="1"/>
      <c r="BP8" s="1"/>
      <c r="BQ8" s="1"/>
      <c r="BR8" s="1"/>
      <c r="BS8" s="1"/>
      <c r="BT8" s="1"/>
      <c r="BU8" s="1"/>
      <c r="BV8" s="1"/>
      <c r="BW8" s="1"/>
      <c r="BX8" s="1"/>
      <c r="BY8" s="1"/>
      <c r="BZ8" s="1"/>
    </row>
    <row r="9" spans="1:78" ht="10.5" customHeight="1" x14ac:dyDescent="0.2">
      <c r="A9" s="26"/>
      <c r="B9" s="942" t="s">
        <v>1690</v>
      </c>
      <c r="C9" s="943"/>
      <c r="D9" s="943"/>
      <c r="E9" s="943"/>
      <c r="F9" s="943"/>
      <c r="G9" s="943"/>
      <c r="H9" s="943"/>
      <c r="I9" s="943"/>
      <c r="J9" s="33"/>
      <c r="K9" s="11"/>
      <c r="L9" s="11"/>
      <c r="M9" s="11"/>
      <c r="N9" s="83"/>
      <c r="O9" s="11"/>
      <c r="P9" s="1"/>
      <c r="Q9" s="1"/>
      <c r="R9" s="1"/>
      <c r="S9" s="1"/>
      <c r="T9" s="1"/>
      <c r="U9" s="1"/>
      <c r="V9" s="1"/>
      <c r="W9" s="1"/>
      <c r="X9" s="1"/>
      <c r="Y9" s="1"/>
      <c r="Z9" s="1"/>
      <c r="AA9" s="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3"/>
      <c r="BB9" s="89" t="str">
        <f>IF(C15=Variables!E6,"Y","N")</f>
        <v>N</v>
      </c>
      <c r="BC9" s="87">
        <v>1</v>
      </c>
      <c r="BD9" s="87">
        <v>1</v>
      </c>
      <c r="BE9" s="87">
        <v>1</v>
      </c>
      <c r="BF9" s="87">
        <v>1</v>
      </c>
      <c r="BG9" s="87">
        <v>1</v>
      </c>
      <c r="BH9" s="87">
        <v>1</v>
      </c>
      <c r="BI9" s="87">
        <v>1</v>
      </c>
      <c r="BJ9" s="87">
        <v>1</v>
      </c>
      <c r="BK9" s="87">
        <v>1</v>
      </c>
      <c r="BL9" s="90">
        <v>1</v>
      </c>
      <c r="BM9" s="90">
        <v>1</v>
      </c>
      <c r="BN9" s="90">
        <v>1</v>
      </c>
      <c r="BO9" s="11"/>
      <c r="BP9" s="11"/>
      <c r="BQ9" s="11"/>
      <c r="BR9" s="11"/>
      <c r="BS9" s="11"/>
      <c r="BT9" s="11"/>
      <c r="BU9" s="11"/>
      <c r="BV9" s="11"/>
      <c r="BW9" s="11"/>
      <c r="BX9" s="11"/>
      <c r="BY9" s="11"/>
      <c r="BZ9" s="11"/>
    </row>
    <row r="10" spans="1:78" ht="18" customHeight="1" x14ac:dyDescent="0.2">
      <c r="A10" s="26"/>
      <c r="B10" s="950" t="s">
        <v>1557</v>
      </c>
      <c r="C10" s="951"/>
      <c r="D10" s="951"/>
      <c r="E10" s="951"/>
      <c r="F10" s="951"/>
      <c r="G10" s="951"/>
      <c r="H10" s="951"/>
      <c r="I10" s="951"/>
      <c r="J10" s="72"/>
      <c r="K10" s="11"/>
      <c r="L10" s="11"/>
      <c r="M10" s="11"/>
      <c r="N10" s="83"/>
      <c r="O10" s="11"/>
      <c r="P10" s="1"/>
      <c r="Q10" s="1"/>
      <c r="R10" s="1"/>
      <c r="S10" s="1"/>
      <c r="T10" s="1"/>
      <c r="U10" s="1"/>
      <c r="V10" s="1"/>
      <c r="W10" s="1"/>
      <c r="X10" s="1"/>
      <c r="Y10" s="1"/>
      <c r="Z10" s="1"/>
      <c r="AA10" s="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8"/>
      <c r="BB10" s="89" t="str">
        <f>IF(AND(C15=Variables!E12,C13&gt;250000),"Y","N")</f>
        <v>N</v>
      </c>
      <c r="BC10" s="87"/>
      <c r="BD10" s="87"/>
      <c r="BE10" s="87"/>
      <c r="BF10" s="87"/>
      <c r="BG10" s="87"/>
      <c r="BH10" s="87"/>
      <c r="BI10" s="87"/>
      <c r="BJ10" s="87"/>
      <c r="BK10" s="87"/>
      <c r="BL10" s="90"/>
      <c r="BM10" s="90"/>
      <c r="BN10" s="90"/>
      <c r="BO10" s="11"/>
      <c r="BP10" s="11"/>
      <c r="BQ10" s="11"/>
      <c r="BR10" s="11"/>
      <c r="BS10" s="11"/>
      <c r="BT10" s="11"/>
      <c r="BU10" s="11"/>
      <c r="BV10" s="11"/>
      <c r="BW10" s="11"/>
      <c r="BX10" s="11"/>
      <c r="BY10" s="11"/>
      <c r="BZ10" s="11"/>
    </row>
    <row r="11" spans="1:78" ht="2.25" customHeight="1" x14ac:dyDescent="0.2">
      <c r="A11" s="32"/>
      <c r="B11" s="35"/>
      <c r="C11" s="35"/>
      <c r="D11" s="35"/>
      <c r="E11" s="35"/>
      <c r="F11" s="35"/>
      <c r="G11" s="35"/>
      <c r="H11" s="35"/>
      <c r="I11" s="35"/>
      <c r="J11" s="35"/>
      <c r="K11" s="58"/>
      <c r="L11" s="58"/>
      <c r="M11" s="58"/>
      <c r="N11" s="80"/>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8"/>
      <c r="BB11" s="89" t="str">
        <f>IF(AND(C15=Variables!E12,C13&lt;250000),"Y","N")</f>
        <v>N</v>
      </c>
      <c r="BC11" s="87">
        <v>1</v>
      </c>
      <c r="BD11" s="87">
        <v>1</v>
      </c>
      <c r="BE11" s="87">
        <v>1</v>
      </c>
      <c r="BF11" s="87">
        <v>1</v>
      </c>
      <c r="BG11" s="87">
        <v>1</v>
      </c>
      <c r="BH11" s="87">
        <v>1</v>
      </c>
      <c r="BI11" s="87">
        <v>1</v>
      </c>
      <c r="BJ11" s="87">
        <v>1</v>
      </c>
      <c r="BK11" s="87">
        <v>1</v>
      </c>
      <c r="BL11" s="91">
        <v>1</v>
      </c>
      <c r="BM11" s="91">
        <v>1</v>
      </c>
      <c r="BN11" s="91">
        <v>1</v>
      </c>
      <c r="BO11" s="58"/>
      <c r="BP11" s="58"/>
      <c r="BQ11" s="58"/>
      <c r="BR11" s="58"/>
      <c r="BS11" s="58"/>
      <c r="BT11" s="58"/>
      <c r="BU11" s="58"/>
      <c r="BV11" s="58"/>
      <c r="BW11" s="58"/>
      <c r="BX11" s="58"/>
      <c r="BY11" s="58"/>
      <c r="BZ11" s="58"/>
    </row>
    <row r="12" spans="1:78" ht="1.5" customHeight="1" thickBot="1" x14ac:dyDescent="0.25">
      <c r="A12" s="32"/>
      <c r="B12" s="662"/>
      <c r="C12" s="662"/>
      <c r="D12" s="662"/>
      <c r="E12" s="662"/>
      <c r="F12" s="662"/>
      <c r="G12" s="662"/>
      <c r="H12" s="662"/>
      <c r="I12" s="662"/>
      <c r="J12" s="662"/>
      <c r="K12" s="11"/>
      <c r="L12" s="11"/>
      <c r="M12" s="11"/>
      <c r="N12" s="83"/>
      <c r="O12" s="11"/>
      <c r="P12" s="1"/>
      <c r="Q12" s="1"/>
      <c r="R12" s="1"/>
      <c r="S12" s="1"/>
      <c r="T12" s="1"/>
      <c r="U12" s="1"/>
      <c r="V12" s="1"/>
      <c r="W12" s="1"/>
      <c r="X12" s="1"/>
      <c r="Y12" s="1"/>
      <c r="Z12" s="1"/>
      <c r="AA12" s="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9"/>
      <c r="BB12" s="89" t="str">
        <f>IF(OR(C15=Variables!E13,C15=Variables!E5),"Y","N")</f>
        <v>N</v>
      </c>
      <c r="BC12" s="87"/>
      <c r="BD12" s="87"/>
      <c r="BE12" s="87"/>
      <c r="BF12" s="87"/>
      <c r="BG12" s="87"/>
      <c r="BH12" s="87"/>
      <c r="BI12" s="87"/>
      <c r="BJ12" s="87"/>
      <c r="BK12" s="87"/>
      <c r="BL12" s="91"/>
      <c r="BM12" s="91"/>
      <c r="BN12" s="91"/>
      <c r="BO12" s="11"/>
      <c r="BP12" s="11"/>
      <c r="BQ12" s="11"/>
      <c r="BR12" s="11"/>
      <c r="BS12" s="11"/>
      <c r="BT12" s="11"/>
      <c r="BU12" s="11"/>
      <c r="BV12" s="11"/>
      <c r="BW12" s="11"/>
      <c r="BX12" s="11"/>
      <c r="BY12" s="11"/>
      <c r="BZ12" s="11"/>
    </row>
    <row r="13" spans="1:78" ht="21" customHeight="1" thickBot="1" x14ac:dyDescent="0.25">
      <c r="A13" s="26"/>
      <c r="B13" s="680" t="s">
        <v>1524</v>
      </c>
      <c r="C13" s="948"/>
      <c r="D13" s="949"/>
      <c r="E13" s="724"/>
      <c r="F13" s="725"/>
      <c r="G13" s="947"/>
      <c r="H13" s="954"/>
      <c r="I13" s="954"/>
      <c r="J13" s="23"/>
      <c r="K13" s="11"/>
      <c r="L13" s="11"/>
      <c r="M13" s="11"/>
      <c r="N13" s="83"/>
      <c r="O13" s="11"/>
      <c r="P13" s="1"/>
      <c r="Q13" s="1"/>
      <c r="R13" s="1"/>
      <c r="S13" s="1"/>
      <c r="T13" s="1"/>
      <c r="U13" s="1"/>
      <c r="V13" s="1"/>
      <c r="W13" s="1"/>
      <c r="X13" s="1"/>
      <c r="Y13" s="1"/>
      <c r="Z13" s="1"/>
      <c r="AA13" s="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9"/>
      <c r="BB13" s="89" t="str">
        <f>IF(C15=Variables!E14,"Y","N")</f>
        <v>N</v>
      </c>
      <c r="BC13" s="87"/>
      <c r="BD13" s="87"/>
      <c r="BE13" s="87"/>
      <c r="BF13" s="87"/>
      <c r="BG13" s="87"/>
      <c r="BH13" s="87"/>
      <c r="BI13" s="87"/>
      <c r="BJ13" s="87"/>
      <c r="BK13" s="87"/>
      <c r="BL13" s="92"/>
      <c r="BM13" s="92"/>
      <c r="BN13" s="92"/>
      <c r="BO13" s="11"/>
      <c r="BP13" s="11"/>
      <c r="BQ13" s="11"/>
      <c r="BR13" s="11"/>
      <c r="BS13" s="11"/>
      <c r="BT13" s="11"/>
      <c r="BU13" s="11"/>
      <c r="BV13" s="11"/>
      <c r="BW13" s="11"/>
      <c r="BX13" s="11"/>
      <c r="BY13" s="11"/>
      <c r="BZ13" s="11"/>
    </row>
    <row r="14" spans="1:78" ht="3" customHeight="1" thickBot="1" x14ac:dyDescent="0.25">
      <c r="A14" s="26"/>
      <c r="B14" s="947"/>
      <c r="C14" s="947"/>
      <c r="D14" s="947"/>
      <c r="E14" s="947"/>
      <c r="F14" s="947"/>
      <c r="G14" s="947"/>
      <c r="H14" s="947"/>
      <c r="I14" s="947"/>
      <c r="J14" s="23"/>
      <c r="K14" s="11"/>
      <c r="L14" s="11"/>
      <c r="M14" s="11"/>
      <c r="N14" s="83" t="str">
        <f>IF(C15=Variables!E14,0,"")</f>
        <v/>
      </c>
      <c r="O14" s="11"/>
      <c r="P14" s="1"/>
      <c r="Q14" s="1"/>
      <c r="R14" s="1"/>
      <c r="S14" s="1"/>
      <c r="T14" s="1"/>
      <c r="U14" s="1"/>
      <c r="V14" s="1"/>
      <c r="W14" s="1"/>
      <c r="X14" s="1"/>
      <c r="Y14" s="1"/>
      <c r="Z14" s="1"/>
      <c r="AA14" s="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9"/>
      <c r="BB14" s="89" t="str">
        <f>IF(C15="DA - Subdivision (No New Roads)","Y","N")</f>
        <v>N</v>
      </c>
      <c r="BC14" s="87"/>
      <c r="BD14" s="87"/>
      <c r="BE14" s="87"/>
      <c r="BF14" s="87"/>
      <c r="BG14" s="87"/>
      <c r="BH14" s="87"/>
      <c r="BI14" s="87"/>
      <c r="BJ14" s="87"/>
      <c r="BK14" s="87"/>
      <c r="BL14" s="91"/>
      <c r="BM14" s="91"/>
      <c r="BN14" s="91"/>
      <c r="BO14" s="11"/>
      <c r="BP14" s="11"/>
      <c r="BQ14" s="11"/>
      <c r="BR14" s="11"/>
      <c r="BS14" s="11"/>
      <c r="BT14" s="11"/>
      <c r="BU14" s="11"/>
      <c r="BV14" s="11"/>
      <c r="BW14" s="11"/>
      <c r="BX14" s="11"/>
      <c r="BY14" s="11"/>
      <c r="BZ14" s="11"/>
    </row>
    <row r="15" spans="1:78" ht="24" customHeight="1" thickBot="1" x14ac:dyDescent="0.25">
      <c r="A15" s="26"/>
      <c r="B15" s="680" t="s">
        <v>1525</v>
      </c>
      <c r="C15" s="944"/>
      <c r="D15" s="945"/>
      <c r="E15" s="945"/>
      <c r="F15" s="946"/>
      <c r="G15" s="952"/>
      <c r="H15" s="953"/>
      <c r="I15" s="953"/>
      <c r="J15" s="23"/>
      <c r="K15" s="41"/>
      <c r="L15" s="41"/>
      <c r="M15" s="41"/>
      <c r="N15" s="8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8"/>
      <c r="BB15" s="89" t="str">
        <f>IF(C15="DA - Strata Subdivision","Y","N")</f>
        <v>N</v>
      </c>
      <c r="BC15" s="87"/>
      <c r="BD15" s="87"/>
      <c r="BE15" s="87"/>
      <c r="BF15" s="87"/>
      <c r="BG15" s="87"/>
      <c r="BH15" s="87"/>
      <c r="BI15" s="87"/>
      <c r="BJ15" s="87"/>
      <c r="BK15" s="87"/>
      <c r="BL15" s="91"/>
      <c r="BM15" s="91"/>
      <c r="BN15" s="91"/>
      <c r="BO15" s="41"/>
      <c r="BP15" s="41"/>
      <c r="BQ15" s="41"/>
      <c r="BR15" s="41"/>
      <c r="BS15" s="41"/>
      <c r="BT15" s="41"/>
      <c r="BU15" s="41"/>
      <c r="BV15" s="41"/>
      <c r="BW15" s="41"/>
      <c r="BX15" s="41"/>
      <c r="BY15" s="41"/>
      <c r="BZ15" s="41"/>
    </row>
    <row r="16" spans="1:78" ht="0.75" customHeight="1" x14ac:dyDescent="0.2">
      <c r="A16" s="34"/>
      <c r="B16" s="959"/>
      <c r="C16" s="953"/>
      <c r="D16" s="953"/>
      <c r="E16" s="953"/>
      <c r="F16" s="953"/>
      <c r="G16" s="953"/>
      <c r="H16" s="953"/>
      <c r="I16" s="953"/>
      <c r="J16" s="34"/>
      <c r="K16" s="11"/>
      <c r="L16" s="11"/>
      <c r="M16" s="11"/>
      <c r="N16" s="83"/>
      <c r="O16" s="11"/>
      <c r="P16" s="1"/>
      <c r="Q16" s="1">
        <f>SUM(Q14:Q15)</f>
        <v>0</v>
      </c>
      <c r="R16" s="1"/>
      <c r="S16" s="1"/>
      <c r="T16" s="1"/>
      <c r="U16" s="1"/>
      <c r="V16" s="1"/>
      <c r="W16" s="1"/>
      <c r="X16" s="1"/>
      <c r="Y16" s="1"/>
      <c r="Z16" s="1"/>
      <c r="AA16" s="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9"/>
      <c r="BB16" s="89" t="str">
        <f>IF(OR(C15=Variables!E15,C15=Variables!E4),"Y","N")</f>
        <v>N</v>
      </c>
      <c r="BC16" s="87"/>
      <c r="BD16" s="87"/>
      <c r="BE16" s="87"/>
      <c r="BF16" s="87"/>
      <c r="BG16" s="87"/>
      <c r="BH16" s="87"/>
      <c r="BI16" s="87"/>
      <c r="BJ16" s="87"/>
      <c r="BK16" s="87">
        <v>2</v>
      </c>
      <c r="BL16" s="91"/>
      <c r="BM16" s="91"/>
      <c r="BN16" s="91"/>
      <c r="BO16" s="11"/>
      <c r="BP16" s="11"/>
      <c r="BQ16" s="11"/>
      <c r="BR16" s="11"/>
      <c r="BS16" s="11"/>
      <c r="BT16" s="11"/>
      <c r="BU16" s="11"/>
      <c r="BV16" s="11"/>
      <c r="BW16" s="11"/>
      <c r="BX16" s="11"/>
      <c r="BY16" s="11"/>
      <c r="BZ16" s="11"/>
    </row>
    <row r="17" spans="1:78" ht="2.25" hidden="1" customHeight="1" x14ac:dyDescent="0.2">
      <c r="A17" s="953"/>
      <c r="B17" s="953"/>
      <c r="C17" s="953"/>
      <c r="D17" s="953"/>
      <c r="E17" s="953"/>
      <c r="F17" s="953"/>
      <c r="G17" s="953"/>
      <c r="H17" s="953"/>
      <c r="I17" s="953"/>
      <c r="J17" s="953"/>
      <c r="K17" s="11"/>
      <c r="L17" s="11"/>
      <c r="M17" s="11"/>
      <c r="N17" s="83"/>
      <c r="O17" s="11"/>
      <c r="P17" s="17" t="s">
        <v>36</v>
      </c>
      <c r="Q17" s="1" t="str">
        <f>IF(C15="Advertising Structure Only (No Footing)",1,"")</f>
        <v/>
      </c>
      <c r="R17" s="1"/>
      <c r="S17" s="1"/>
      <c r="T17" s="1"/>
      <c r="U17" s="1"/>
      <c r="V17" s="1"/>
      <c r="W17" s="1"/>
      <c r="X17" s="1"/>
      <c r="Y17" s="1"/>
      <c r="Z17" s="1"/>
      <c r="AA17" s="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9"/>
      <c r="BB17" s="89" t="str">
        <f>IF(C15=Variables!E16,"Y","N")</f>
        <v>N</v>
      </c>
      <c r="BC17" s="87">
        <v>2</v>
      </c>
      <c r="BD17" s="87"/>
      <c r="BE17" s="87"/>
      <c r="BF17" s="87"/>
      <c r="BG17" s="87"/>
      <c r="BH17" s="87"/>
      <c r="BI17" s="87"/>
      <c r="BJ17" s="87"/>
      <c r="BK17" s="87"/>
      <c r="BL17" s="93"/>
      <c r="BM17" s="93"/>
      <c r="BN17" s="93"/>
      <c r="BO17" s="11"/>
      <c r="BP17" s="11"/>
      <c r="BQ17" s="11"/>
      <c r="BR17" s="11"/>
      <c r="BS17" s="11"/>
      <c r="BT17" s="11"/>
      <c r="BU17" s="11"/>
      <c r="BV17" s="11"/>
      <c r="BW17" s="11"/>
      <c r="BX17" s="11"/>
      <c r="BY17" s="11"/>
      <c r="BZ17" s="11"/>
    </row>
    <row r="18" spans="1:78" ht="2.25" hidden="1" customHeight="1" thickBot="1" x14ac:dyDescent="0.25">
      <c r="A18" s="26"/>
      <c r="B18" s="959"/>
      <c r="C18" s="960"/>
      <c r="D18" s="960"/>
      <c r="E18" s="969"/>
      <c r="F18" s="960"/>
      <c r="G18" s="960"/>
      <c r="H18" s="960"/>
      <c r="I18" s="960"/>
      <c r="J18" s="72"/>
      <c r="K18" s="11" t="str">
        <f>IF(C15=Variables!E2,"","")</f>
        <v/>
      </c>
      <c r="L18" s="11"/>
      <c r="M18" s="11"/>
      <c r="N18" s="83"/>
      <c r="O18" s="11"/>
      <c r="P18" s="1"/>
      <c r="Q18" s="1">
        <f>SUM(Q15:Q17)</f>
        <v>0</v>
      </c>
      <c r="R18" s="1"/>
      <c r="S18" s="1"/>
      <c r="T18" s="1"/>
      <c r="U18" s="1"/>
      <c r="V18" s="1"/>
      <c r="W18" s="1"/>
      <c r="X18" s="1"/>
      <c r="Y18" s="1"/>
      <c r="Z18" s="1"/>
      <c r="AA18" s="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3"/>
      <c r="BB18" s="89" t="str">
        <f>IF(C15=Variables!E17,"Y","N")</f>
        <v>N</v>
      </c>
      <c r="BC18" s="87"/>
      <c r="BD18" s="87"/>
      <c r="BE18" s="87"/>
      <c r="BF18" s="87"/>
      <c r="BG18" s="87"/>
      <c r="BH18" s="87"/>
      <c r="BI18" s="87"/>
      <c r="BJ18" s="87"/>
      <c r="BK18" s="87"/>
      <c r="BL18" s="91"/>
      <c r="BM18" s="91"/>
      <c r="BN18" s="91"/>
      <c r="BO18" s="11"/>
      <c r="BP18" s="11"/>
      <c r="BQ18" s="11"/>
      <c r="BR18" s="11"/>
      <c r="BS18" s="11"/>
      <c r="BT18" s="11"/>
      <c r="BU18" s="11"/>
      <c r="BV18" s="11"/>
      <c r="BW18" s="11"/>
      <c r="BX18" s="11"/>
      <c r="BY18" s="11"/>
      <c r="BZ18" s="11"/>
    </row>
    <row r="19" spans="1:78" ht="18.75" hidden="1" customHeight="1" thickBot="1" x14ac:dyDescent="0.25">
      <c r="A19" s="26"/>
      <c r="B19" s="723" t="s">
        <v>1526</v>
      </c>
      <c r="C19" s="681"/>
      <c r="D19" s="705"/>
      <c r="E19" s="955"/>
      <c r="F19" s="938"/>
      <c r="G19" s="938"/>
      <c r="H19" s="938"/>
      <c r="I19" s="28"/>
      <c r="J19" s="34"/>
      <c r="K19" s="11" t="str">
        <f>IF(C15=Variables!E3,"","")</f>
        <v/>
      </c>
      <c r="L19" s="3"/>
      <c r="M19" s="11"/>
      <c r="N19" s="83"/>
      <c r="O19" s="11"/>
      <c r="P19" s="1"/>
      <c r="Q19" s="1"/>
      <c r="R19" s="1"/>
      <c r="S19" s="1"/>
      <c r="T19" s="1"/>
      <c r="U19" s="1"/>
      <c r="V19" s="1"/>
      <c r="W19" s="1"/>
      <c r="X19" s="1"/>
      <c r="Y19" s="1"/>
      <c r="Z19" s="1"/>
      <c r="AA19" s="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89" t="str">
        <f>IF(C15=Variables!E18,"Y","N")</f>
        <v>N</v>
      </c>
      <c r="BC19" s="87"/>
      <c r="BD19" s="87"/>
      <c r="BE19" s="87"/>
      <c r="BF19" s="87"/>
      <c r="BG19" s="87"/>
      <c r="BH19" s="87"/>
      <c r="BI19" s="87"/>
      <c r="BJ19" s="87"/>
      <c r="BK19" s="87"/>
      <c r="BL19" s="91"/>
      <c r="BM19" s="91"/>
      <c r="BN19" s="91"/>
      <c r="BO19" s="11"/>
      <c r="BP19" s="11"/>
      <c r="BQ19" s="11"/>
      <c r="BR19" s="11"/>
      <c r="BS19" s="11"/>
      <c r="BT19" s="11"/>
      <c r="BU19" s="11"/>
      <c r="BV19" s="11"/>
      <c r="BW19" s="11"/>
      <c r="BX19" s="11"/>
      <c r="BY19" s="11"/>
      <c r="BZ19" s="11"/>
    </row>
    <row r="20" spans="1:78" ht="2.25" hidden="1" customHeight="1" thickBot="1" x14ac:dyDescent="0.25">
      <c r="A20" s="26"/>
      <c r="B20" s="930"/>
      <c r="C20" s="930"/>
      <c r="D20" s="930"/>
      <c r="E20" s="930"/>
      <c r="F20" s="930"/>
      <c r="G20" s="930"/>
      <c r="H20" s="930"/>
      <c r="I20" s="930"/>
      <c r="J20" s="701"/>
      <c r="K20" s="11" t="str">
        <f>IF(C15=Variables!E9,"","")</f>
        <v/>
      </c>
      <c r="L20" s="3"/>
      <c r="M20" s="11"/>
      <c r="N20" s="83"/>
      <c r="O20" s="11"/>
      <c r="P20" s="1"/>
      <c r="Q20" s="1"/>
      <c r="R20" s="1"/>
      <c r="S20" s="1"/>
      <c r="T20" s="1"/>
      <c r="U20" s="1"/>
      <c r="V20" s="1"/>
      <c r="W20" s="1"/>
      <c r="X20" s="1"/>
      <c r="Y20" s="1"/>
      <c r="Z20" s="1"/>
      <c r="AA20" s="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89" t="str">
        <f>IF(BB29&gt;=1,"Y","N")</f>
        <v>Y</v>
      </c>
      <c r="BC20" s="87"/>
      <c r="BD20" s="87"/>
      <c r="BE20" s="87"/>
      <c r="BF20" s="87"/>
      <c r="BG20" s="87"/>
      <c r="BH20" s="87"/>
      <c r="BI20" s="87"/>
      <c r="BJ20" s="87"/>
      <c r="BK20" s="87"/>
      <c r="BL20" s="91"/>
      <c r="BM20" s="91"/>
      <c r="BN20" s="91"/>
      <c r="BO20" s="11"/>
      <c r="BP20" s="11"/>
      <c r="BQ20" s="11"/>
      <c r="BR20" s="11"/>
      <c r="BS20" s="11"/>
      <c r="BT20" s="11"/>
      <c r="BU20" s="11"/>
      <c r="BV20" s="11"/>
      <c r="BW20" s="11"/>
      <c r="BX20" s="11"/>
      <c r="BY20" s="11"/>
      <c r="BZ20" s="11"/>
    </row>
    <row r="21" spans="1:78" ht="18" hidden="1" customHeight="1" thickBot="1" x14ac:dyDescent="0.25">
      <c r="A21" s="26"/>
      <c r="B21" s="723" t="s">
        <v>284</v>
      </c>
      <c r="C21" s="681"/>
      <c r="D21" s="705"/>
      <c r="E21" s="955"/>
      <c r="F21" s="960"/>
      <c r="G21" s="960"/>
      <c r="H21" s="938"/>
      <c r="I21" s="28"/>
      <c r="J21" s="23"/>
      <c r="K21" s="11" t="str">
        <f>IF(C15=Variables!E10,"","")</f>
        <v/>
      </c>
      <c r="L21" s="3"/>
      <c r="M21" s="11"/>
      <c r="N21" s="83"/>
      <c r="O21" s="11"/>
      <c r="P21" s="1"/>
      <c r="Q21" s="1"/>
      <c r="R21" s="1"/>
      <c r="S21" s="1"/>
      <c r="T21" s="1"/>
      <c r="U21" s="1"/>
      <c r="V21" s="1"/>
      <c r="W21" s="1"/>
      <c r="X21" s="1"/>
      <c r="Y21" s="1"/>
      <c r="Z21" s="1"/>
      <c r="AA21" s="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91"/>
      <c r="BC21" s="87">
        <f>VLOOKUP("Y",BB$2:BC$20,2,0)</f>
        <v>0</v>
      </c>
      <c r="BD21" s="87">
        <f>VLOOKUP("Y",BB$2:BD$20,3,0)</f>
        <v>0</v>
      </c>
      <c r="BE21" s="87">
        <f>VLOOKUP("Y",BB$2:BE$20,4,0)</f>
        <v>0</v>
      </c>
      <c r="BF21" s="87">
        <f>VLOOKUP("Y",BB$2:BF$20,5,0)</f>
        <v>0</v>
      </c>
      <c r="BG21" s="87">
        <f>VLOOKUP("Y",BB$2:BG$20,6,0)</f>
        <v>0</v>
      </c>
      <c r="BH21" s="87">
        <f>VLOOKUP("Y",BB$2:BH$20,7,0)</f>
        <v>0</v>
      </c>
      <c r="BI21" s="87">
        <f>VLOOKUP("Y",BB$2:BI$20,8,0)</f>
        <v>0</v>
      </c>
      <c r="BJ21" s="87">
        <f>VLOOKUP("Y",BB$2:BJ$20,9,0)</f>
        <v>0</v>
      </c>
      <c r="BK21" s="87">
        <f>VLOOKUP("Y",BB$2:BK$20,10,0)</f>
        <v>0</v>
      </c>
      <c r="BL21" s="87">
        <f>VLOOKUP("Y",BB$2:BL$20,11,0)</f>
        <v>0</v>
      </c>
      <c r="BM21" s="87">
        <f>VLOOKUP("Y",BB$2:BM$20,11,0)</f>
        <v>0</v>
      </c>
      <c r="BN21" s="87">
        <f>VLOOKUP("Y",BB$2:BN$20,12,0)</f>
        <v>0</v>
      </c>
      <c r="BO21" s="11"/>
      <c r="BP21" s="11"/>
      <c r="BQ21" s="11"/>
      <c r="BR21" s="11"/>
      <c r="BS21" s="11"/>
      <c r="BT21" s="11"/>
      <c r="BU21" s="11"/>
      <c r="BV21" s="11"/>
      <c r="BW21" s="11"/>
      <c r="BX21" s="11"/>
      <c r="BY21" s="11"/>
      <c r="BZ21" s="11"/>
    </row>
    <row r="22" spans="1:78" ht="3" hidden="1" customHeight="1" thickBot="1" x14ac:dyDescent="0.25">
      <c r="A22" s="26"/>
      <c r="B22" s="930"/>
      <c r="C22" s="930"/>
      <c r="D22" s="930"/>
      <c r="E22" s="930"/>
      <c r="F22" s="930"/>
      <c r="G22" s="930"/>
      <c r="H22" s="930"/>
      <c r="I22" s="930"/>
      <c r="J22" s="687"/>
      <c r="K22" s="11" t="str">
        <f>IF(C15=Variables!E11,"","")</f>
        <v/>
      </c>
      <c r="L22" s="3"/>
      <c r="M22" s="11"/>
      <c r="N22" s="83"/>
      <c r="O22" s="11"/>
      <c r="P22" s="1"/>
      <c r="Q22" s="1"/>
      <c r="R22" s="1"/>
      <c r="S22" s="1"/>
      <c r="T22" s="1"/>
      <c r="U22" s="1"/>
      <c r="V22" s="1"/>
      <c r="W22" s="1"/>
      <c r="X22" s="1"/>
      <c r="Y22" s="1"/>
      <c r="Z22" s="1"/>
      <c r="AA22" s="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91"/>
      <c r="BC22" s="91" t="str">
        <f>IF(C34="Yes",1,"")</f>
        <v/>
      </c>
      <c r="BD22" s="91" t="str">
        <f>IF(C34="Yes",1,"")</f>
        <v/>
      </c>
      <c r="BE22" s="91" t="str">
        <f>IF(C34="Yes",1,"")</f>
        <v/>
      </c>
      <c r="BF22" s="91" t="str">
        <f>IF(C34="Yes",1,"")</f>
        <v/>
      </c>
      <c r="BG22" s="91" t="str">
        <f>IF(C34="Yes",1,"")</f>
        <v/>
      </c>
      <c r="BH22" s="91">
        <f>IF(BH33&gt;0,1,0)</f>
        <v>0</v>
      </c>
      <c r="BI22" s="91">
        <f>IF(BH33&gt;0,1,0)</f>
        <v>0</v>
      </c>
      <c r="BJ22" s="91">
        <f>IF(BH33&gt;0,1,0)</f>
        <v>0</v>
      </c>
      <c r="BK22" s="91">
        <f>IF(BH33&gt;0,1,0)</f>
        <v>0</v>
      </c>
      <c r="BL22" s="91">
        <f>IF(BH33&gt;0,1,0)</f>
        <v>0</v>
      </c>
      <c r="BM22" s="91">
        <f>IF(BH33&gt;0,1,0)</f>
        <v>0</v>
      </c>
      <c r="BN22" s="91" t="str">
        <f>IF(BH27=1,1,"")</f>
        <v/>
      </c>
      <c r="BO22" s="11"/>
      <c r="BP22" s="11"/>
      <c r="BQ22" s="11"/>
      <c r="BR22" s="11"/>
      <c r="BS22" s="11"/>
      <c r="BT22" s="11"/>
      <c r="BU22" s="11"/>
      <c r="BV22" s="11"/>
      <c r="BW22" s="11"/>
      <c r="BX22" s="11"/>
      <c r="BY22" s="11"/>
      <c r="BZ22" s="11"/>
    </row>
    <row r="23" spans="1:78" ht="21" hidden="1" customHeight="1" thickBot="1" x14ac:dyDescent="0.25">
      <c r="A23" s="26"/>
      <c r="B23" s="715" t="s">
        <v>1555</v>
      </c>
      <c r="C23" s="931"/>
      <c r="D23" s="932"/>
      <c r="E23" s="956" t="s">
        <v>1556</v>
      </c>
      <c r="F23" s="957"/>
      <c r="G23" s="957"/>
      <c r="H23" s="958"/>
      <c r="I23" s="685"/>
      <c r="J23" s="701"/>
      <c r="K23" s="11" t="str">
        <f>IF(C15=Variables!E12,"","")</f>
        <v/>
      </c>
      <c r="L23" s="3"/>
      <c r="M23" s="11"/>
      <c r="N23" s="83"/>
      <c r="O23" s="11"/>
      <c r="P23" s="1"/>
      <c r="Q23" s="1"/>
      <c r="R23" s="1"/>
      <c r="S23" s="1"/>
      <c r="T23" s="1"/>
      <c r="U23" s="1"/>
      <c r="V23" s="1"/>
      <c r="W23" s="1"/>
      <c r="X23" s="1"/>
      <c r="Y23" s="1"/>
      <c r="Z23" s="1"/>
      <c r="AA23" s="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91"/>
      <c r="BC23" s="91">
        <f t="shared" ref="BC23:BN23" si="0">SUM(BC21:BC22)</f>
        <v>0</v>
      </c>
      <c r="BD23" s="91">
        <f t="shared" si="0"/>
        <v>0</v>
      </c>
      <c r="BE23" s="91">
        <f t="shared" si="0"/>
        <v>0</v>
      </c>
      <c r="BF23" s="91">
        <f t="shared" si="0"/>
        <v>0</v>
      </c>
      <c r="BG23" s="91">
        <f t="shared" si="0"/>
        <v>0</v>
      </c>
      <c r="BH23" s="91">
        <f t="shared" si="0"/>
        <v>0</v>
      </c>
      <c r="BI23" s="91">
        <f t="shared" si="0"/>
        <v>0</v>
      </c>
      <c r="BJ23" s="91">
        <f t="shared" si="0"/>
        <v>0</v>
      </c>
      <c r="BK23" s="91">
        <f t="shared" si="0"/>
        <v>0</v>
      </c>
      <c r="BL23" s="91">
        <f t="shared" si="0"/>
        <v>0</v>
      </c>
      <c r="BM23" s="91">
        <f t="shared" si="0"/>
        <v>0</v>
      </c>
      <c r="BN23" s="91">
        <f t="shared" si="0"/>
        <v>0</v>
      </c>
      <c r="BO23" s="11"/>
      <c r="BP23" s="11"/>
      <c r="BQ23" s="11"/>
      <c r="BR23" s="11"/>
      <c r="BS23" s="11"/>
      <c r="BT23" s="11"/>
      <c r="BU23" s="11"/>
      <c r="BV23" s="11"/>
      <c r="BW23" s="11"/>
      <c r="BX23" s="11"/>
      <c r="BY23" s="11"/>
      <c r="BZ23" s="11"/>
    </row>
    <row r="24" spans="1:78" ht="3" hidden="1" customHeight="1" thickBot="1" x14ac:dyDescent="0.25">
      <c r="A24" s="26"/>
      <c r="B24" s="962"/>
      <c r="C24" s="962"/>
      <c r="D24" s="962"/>
      <c r="E24" s="962"/>
      <c r="F24" s="962"/>
      <c r="G24" s="962"/>
      <c r="H24" s="962"/>
      <c r="I24" s="962"/>
      <c r="J24" s="700"/>
      <c r="K24" s="11"/>
      <c r="L24" s="3"/>
      <c r="M24" s="11"/>
      <c r="N24" s="83"/>
      <c r="O24" s="11"/>
      <c r="P24" s="1"/>
      <c r="Q24" s="1"/>
      <c r="R24" s="1"/>
      <c r="S24" s="1"/>
      <c r="T24" s="1"/>
      <c r="U24" s="1"/>
      <c r="V24" s="1"/>
      <c r="W24" s="1"/>
      <c r="X24" s="1"/>
      <c r="Y24" s="1"/>
      <c r="Z24" s="1"/>
      <c r="AA24" s="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91"/>
      <c r="BC24" s="91"/>
      <c r="BD24" s="91"/>
      <c r="BE24" s="91"/>
      <c r="BF24" s="91"/>
      <c r="BG24" s="91"/>
      <c r="BH24" s="91"/>
      <c r="BI24" s="91"/>
      <c r="BJ24" s="91"/>
      <c r="BK24" s="91"/>
      <c r="BL24" s="91"/>
      <c r="BM24" s="91"/>
      <c r="BN24" s="91"/>
      <c r="BO24" s="11"/>
      <c r="BP24" s="11"/>
      <c r="BQ24" s="11"/>
      <c r="BR24" s="11"/>
      <c r="BS24" s="11"/>
      <c r="BT24" s="11"/>
      <c r="BU24" s="11"/>
      <c r="BV24" s="11"/>
      <c r="BW24" s="11"/>
      <c r="BX24" s="11"/>
      <c r="BY24" s="11"/>
      <c r="BZ24" s="11"/>
    </row>
    <row r="25" spans="1:78" ht="18.75" hidden="1" customHeight="1" thickBot="1" x14ac:dyDescent="0.25">
      <c r="A25" s="32"/>
      <c r="B25" s="716" t="s">
        <v>1527</v>
      </c>
      <c r="C25" s="682"/>
      <c r="D25" s="963" t="s">
        <v>1554</v>
      </c>
      <c r="E25" s="964"/>
      <c r="F25" s="964"/>
      <c r="G25" s="964"/>
      <c r="H25" s="965"/>
      <c r="I25" s="685"/>
      <c r="J25" s="701"/>
      <c r="K25" s="11" t="str">
        <f>IF(C15="DA - Commercial (Major)",2,"")</f>
        <v/>
      </c>
      <c r="L25" s="3"/>
      <c r="M25" s="11"/>
      <c r="N25" s="83"/>
      <c r="O25" s="11"/>
      <c r="P25" s="1"/>
      <c r="Q25" s="1"/>
      <c r="R25" s="1"/>
      <c r="S25" s="1"/>
      <c r="T25" s="1"/>
      <c r="U25" s="1"/>
      <c r="V25" s="1"/>
      <c r="W25" s="1"/>
      <c r="X25" s="1"/>
      <c r="Y25" s="1"/>
      <c r="Z25" s="1"/>
      <c r="AA25" s="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91"/>
      <c r="BC25" s="91"/>
      <c r="BD25" s="91"/>
      <c r="BE25" s="91"/>
      <c r="BF25" s="91"/>
      <c r="BG25" s="91"/>
      <c r="BH25" s="91"/>
      <c r="BI25" s="91"/>
      <c r="BJ25" s="91"/>
      <c r="BK25" s="91"/>
      <c r="BL25" s="91"/>
      <c r="BM25" s="91"/>
      <c r="BN25" s="91"/>
      <c r="BO25" s="11"/>
      <c r="BP25" s="11"/>
      <c r="BQ25" s="11"/>
      <c r="BR25" s="11"/>
      <c r="BS25" s="11"/>
      <c r="BT25" s="11"/>
      <c r="BU25" s="11"/>
      <c r="BV25" s="11"/>
      <c r="BW25" s="11"/>
      <c r="BX25" s="11"/>
      <c r="BY25" s="11"/>
      <c r="BZ25" s="11"/>
    </row>
    <row r="26" spans="1:78" ht="3" hidden="1" customHeight="1" thickBot="1" x14ac:dyDescent="0.25">
      <c r="A26" s="26"/>
      <c r="B26" s="61"/>
      <c r="C26" s="21"/>
      <c r="D26" s="21"/>
      <c r="E26" s="21"/>
      <c r="F26" s="21"/>
      <c r="G26" s="59"/>
      <c r="H26" s="59"/>
      <c r="I26" s="34"/>
      <c r="J26" s="23"/>
      <c r="K26" s="11" t="str">
        <f>IF(C15="DA - Commercial (Minor)","","")</f>
        <v/>
      </c>
      <c r="L26" s="3"/>
      <c r="M26" s="11"/>
      <c r="N26" s="83"/>
      <c r="O26" s="11"/>
      <c r="P26" s="1"/>
      <c r="Q26" s="1"/>
      <c r="R26" s="1"/>
      <c r="S26" s="1"/>
      <c r="T26" s="1"/>
      <c r="U26" s="1"/>
      <c r="V26" s="1"/>
      <c r="W26" s="1"/>
      <c r="X26" s="1"/>
      <c r="Y26" s="1"/>
      <c r="Z26" s="1"/>
      <c r="AA26" s="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row>
    <row r="27" spans="1:78" ht="18.75" hidden="1" customHeight="1" thickBot="1" x14ac:dyDescent="0.25">
      <c r="A27" s="26"/>
      <c r="B27" s="673" t="s">
        <v>29</v>
      </c>
      <c r="C27" s="682"/>
      <c r="D27" s="966" t="s">
        <v>30</v>
      </c>
      <c r="E27" s="967"/>
      <c r="F27" s="967"/>
      <c r="G27" s="967"/>
      <c r="H27" s="968"/>
      <c r="I27" s="685"/>
      <c r="J27" s="23"/>
      <c r="K27" s="11" t="str">
        <f>IF(C15=Variables!E14,"","")</f>
        <v/>
      </c>
      <c r="L27" s="3"/>
      <c r="M27" s="11"/>
      <c r="N27" s="83"/>
      <c r="O27" s="11"/>
      <c r="P27" s="1"/>
      <c r="Q27" s="1"/>
      <c r="R27" s="1"/>
      <c r="S27" s="1"/>
      <c r="T27" s="1"/>
      <c r="U27" s="1"/>
      <c r="V27" s="1"/>
      <c r="W27" s="1"/>
      <c r="X27" s="1"/>
      <c r="Y27" s="1"/>
      <c r="Z27" s="1"/>
      <c r="AA27" s="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f>IF(C15="",1,0)</f>
        <v>1</v>
      </c>
      <c r="BC27" s="11"/>
      <c r="BD27" s="11"/>
      <c r="BE27" s="11"/>
      <c r="BF27" s="11"/>
      <c r="BG27" s="11"/>
      <c r="BH27" s="11">
        <f>IF(C34="Yes",1,0)</f>
        <v>0</v>
      </c>
      <c r="BI27" s="11"/>
      <c r="BJ27" s="11"/>
      <c r="BK27" s="11"/>
      <c r="BL27" s="11"/>
      <c r="BM27" s="11"/>
      <c r="BN27" s="11"/>
      <c r="BO27" s="11"/>
      <c r="BP27" s="11"/>
      <c r="BQ27" s="11"/>
      <c r="BR27" s="11"/>
      <c r="BS27" s="11"/>
      <c r="BT27" s="11"/>
      <c r="BU27" s="11"/>
      <c r="BV27" s="11"/>
      <c r="BW27" s="11"/>
      <c r="BX27" s="11"/>
      <c r="BY27" s="11"/>
      <c r="BZ27" s="11"/>
    </row>
    <row r="28" spans="1:78" ht="3.75" hidden="1" customHeight="1" thickBot="1" x14ac:dyDescent="0.25">
      <c r="A28" s="27"/>
      <c r="B28" s="61"/>
      <c r="C28" s="23"/>
      <c r="D28" s="23"/>
      <c r="E28" s="21"/>
      <c r="F28" s="21"/>
      <c r="G28" s="60"/>
      <c r="H28" s="60"/>
      <c r="I28" s="39"/>
      <c r="J28" s="23"/>
      <c r="K28" s="11" t="str">
        <f>IF(C15="DA - Subdivision (New Roads)","","")</f>
        <v/>
      </c>
      <c r="L28" s="3"/>
      <c r="M28" s="11"/>
      <c r="N28" s="83"/>
      <c r="O28" s="11"/>
      <c r="P28" s="48"/>
      <c r="Q28" s="49"/>
      <c r="R28" s="49"/>
      <c r="S28" s="49"/>
      <c r="T28" s="49"/>
      <c r="U28" s="49"/>
      <c r="V28" s="49"/>
      <c r="W28" s="49"/>
      <c r="X28" s="49"/>
      <c r="Y28" s="50"/>
      <c r="Z28" s="1"/>
      <c r="AA28" s="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f>IF(C13="",1,0)</f>
        <v>1</v>
      </c>
      <c r="BC28" s="11"/>
      <c r="BD28" s="11"/>
      <c r="BE28" s="11"/>
      <c r="BF28" s="11"/>
      <c r="BG28" s="11"/>
      <c r="BH28" s="11">
        <f>IF(OR(C15=Variables!E16,C15=Variables!E4),1,0)</f>
        <v>0</v>
      </c>
      <c r="BI28" s="11"/>
      <c r="BJ28" s="11"/>
      <c r="BK28" s="11"/>
      <c r="BL28" s="11"/>
      <c r="BM28" s="11"/>
      <c r="BN28" s="11"/>
      <c r="BO28" s="11"/>
      <c r="BP28" s="11"/>
      <c r="BQ28" s="11"/>
      <c r="BR28" s="11"/>
      <c r="BS28" s="11"/>
      <c r="BT28" s="11"/>
      <c r="BU28" s="11"/>
      <c r="BV28" s="11"/>
      <c r="BW28" s="11"/>
      <c r="BX28" s="11"/>
      <c r="BY28" s="11"/>
      <c r="BZ28" s="11"/>
    </row>
    <row r="29" spans="1:78" ht="17.25" hidden="1" customHeight="1" thickBot="1" x14ac:dyDescent="0.25">
      <c r="A29" s="27"/>
      <c r="B29" s="673" t="s">
        <v>51</v>
      </c>
      <c r="C29" s="682"/>
      <c r="D29" s="28"/>
      <c r="E29" s="961"/>
      <c r="F29" s="953"/>
      <c r="G29" s="953"/>
      <c r="H29" s="953"/>
      <c r="I29" s="953"/>
      <c r="J29" s="24"/>
      <c r="K29" s="11" t="str">
        <f>IF(C15="DA - Subdivision (No New Roads)","","")</f>
        <v/>
      </c>
      <c r="L29" s="3"/>
      <c r="M29" s="11"/>
      <c r="N29" s="83"/>
      <c r="O29" s="11"/>
      <c r="P29" s="48"/>
      <c r="Q29" s="49"/>
      <c r="R29" s="49"/>
      <c r="S29" s="49"/>
      <c r="T29" s="49"/>
      <c r="U29" s="49"/>
      <c r="V29" s="49"/>
      <c r="W29" s="49"/>
      <c r="X29" s="49"/>
      <c r="Y29" s="50"/>
      <c r="Z29" s="1"/>
      <c r="AA29" s="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f>SUM(BB27:BB28)</f>
        <v>2</v>
      </c>
      <c r="BC29" s="11"/>
      <c r="BD29" s="11"/>
      <c r="BE29" s="11"/>
      <c r="BF29" s="11"/>
      <c r="BG29" s="11"/>
      <c r="BH29" s="11">
        <f>IF(AND(C40="Yes",C15&lt;&gt;"DA - Swimming Pool"),1,0)</f>
        <v>0</v>
      </c>
      <c r="BI29" s="11"/>
      <c r="BJ29" s="11"/>
      <c r="BK29" s="11"/>
      <c r="BL29" s="11"/>
      <c r="BM29" s="11"/>
      <c r="BN29" s="11"/>
      <c r="BO29" s="11"/>
      <c r="BP29" s="11"/>
      <c r="BQ29" s="11"/>
      <c r="BR29" s="11"/>
      <c r="BS29" s="11"/>
      <c r="BT29" s="11"/>
      <c r="BU29" s="11"/>
      <c r="BV29" s="11"/>
      <c r="BW29" s="11"/>
      <c r="BX29" s="11"/>
      <c r="BY29" s="11"/>
      <c r="BZ29" s="11"/>
    </row>
    <row r="30" spans="1:78" ht="3" hidden="1" customHeight="1" thickBot="1" x14ac:dyDescent="0.25">
      <c r="A30" s="26"/>
      <c r="B30" s="938"/>
      <c r="C30" s="938"/>
      <c r="D30" s="938"/>
      <c r="E30" s="938"/>
      <c r="F30" s="938"/>
      <c r="G30" s="938"/>
      <c r="H30" s="938"/>
      <c r="I30" s="938"/>
      <c r="J30" s="24"/>
      <c r="K30" s="11"/>
      <c r="L30" s="709" t="s">
        <v>282</v>
      </c>
      <c r="M30" s="709"/>
      <c r="N30" s="710"/>
      <c r="O30" s="709"/>
      <c r="P30" s="857"/>
      <c r="Q30" s="858"/>
      <c r="R30" s="857"/>
      <c r="S30" s="859"/>
      <c r="T30" s="859"/>
      <c r="U30" s="859"/>
      <c r="V30" s="859"/>
      <c r="W30" s="859"/>
      <c r="X30" s="859"/>
      <c r="Y30" s="859"/>
      <c r="Z30" s="708"/>
      <c r="AA30" s="708"/>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709"/>
      <c r="BE30" s="709"/>
      <c r="BF30" s="709"/>
      <c r="BG30" s="709"/>
      <c r="BH30" s="709"/>
      <c r="BI30" s="709"/>
      <c r="BJ30" s="709"/>
      <c r="BK30" s="709"/>
      <c r="BL30" s="709"/>
      <c r="BM30" s="709"/>
      <c r="BN30" s="709"/>
      <c r="BO30" s="709"/>
      <c r="BP30" s="709"/>
      <c r="BQ30" s="709"/>
      <c r="BR30" s="709"/>
      <c r="BS30" s="709"/>
      <c r="BT30" s="709"/>
      <c r="BU30" s="709"/>
      <c r="BV30" s="709"/>
      <c r="BW30" s="709"/>
      <c r="BX30" s="709"/>
      <c r="BY30" s="709"/>
      <c r="BZ30" s="709"/>
    </row>
    <row r="31" spans="1:78" ht="18" hidden="1" customHeight="1" thickBot="1" x14ac:dyDescent="0.25">
      <c r="A31" s="26"/>
      <c r="B31" s="111" t="s">
        <v>1567</v>
      </c>
      <c r="C31" s="682"/>
      <c r="D31" s="678"/>
      <c r="E31" s="25"/>
      <c r="F31" s="674"/>
      <c r="G31" s="674"/>
      <c r="H31" s="674"/>
      <c r="I31" s="674"/>
      <c r="J31" s="23"/>
      <c r="K31" s="42"/>
      <c r="L31" s="11"/>
      <c r="M31" s="11"/>
      <c r="N31" s="83"/>
      <c r="O31" s="11"/>
      <c r="P31" s="49"/>
      <c r="Q31" s="49"/>
      <c r="R31" s="49"/>
      <c r="S31" s="49"/>
      <c r="T31" s="49"/>
      <c r="U31" s="49"/>
      <c r="V31" s="49"/>
      <c r="W31" s="49"/>
      <c r="X31" s="49"/>
      <c r="Y31" s="49"/>
      <c r="Z31" s="1"/>
      <c r="AA31" s="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f>IF(C44="Yes",1,0)</f>
        <v>0</v>
      </c>
      <c r="BI31" s="11"/>
      <c r="BJ31" s="11"/>
      <c r="BK31" s="11"/>
      <c r="BL31" s="11"/>
      <c r="BM31" s="11"/>
      <c r="BN31" s="11"/>
      <c r="BO31" s="11"/>
      <c r="BP31" s="11"/>
      <c r="BQ31" s="11"/>
      <c r="BR31" s="11"/>
      <c r="BS31" s="11"/>
      <c r="BT31" s="11"/>
      <c r="BU31" s="11"/>
      <c r="BV31" s="11"/>
      <c r="BW31" s="11"/>
      <c r="BX31" s="11"/>
      <c r="BY31" s="11"/>
      <c r="BZ31" s="11"/>
    </row>
    <row r="32" spans="1:78" ht="3" hidden="1" customHeight="1" x14ac:dyDescent="0.2">
      <c r="A32" s="110"/>
      <c r="B32" s="661"/>
      <c r="C32" s="662"/>
      <c r="D32" s="662"/>
      <c r="E32" s="662"/>
      <c r="F32" s="72"/>
      <c r="G32" s="72"/>
      <c r="H32" s="72"/>
      <c r="I32" s="72"/>
      <c r="J32" s="72"/>
      <c r="K32" s="709"/>
      <c r="L32" s="11"/>
      <c r="M32" s="11"/>
      <c r="N32" s="83">
        <f>SUM(N19:N31)</f>
        <v>0</v>
      </c>
      <c r="O32" s="11"/>
      <c r="P32" s="49"/>
      <c r="Q32" s="49"/>
      <c r="R32" s="49"/>
      <c r="S32" s="49"/>
      <c r="T32" s="49"/>
      <c r="U32" s="49"/>
      <c r="V32" s="49"/>
      <c r="W32" s="49"/>
      <c r="X32" s="49"/>
      <c r="Y32" s="49"/>
      <c r="Z32" s="1"/>
      <c r="AA32" s="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f>IF(C46="Yes",1,0)</f>
        <v>0</v>
      </c>
      <c r="BI32" s="11"/>
      <c r="BJ32" s="11"/>
      <c r="BK32" s="11"/>
      <c r="BL32" s="11"/>
      <c r="BM32" s="11"/>
      <c r="BN32" s="11"/>
      <c r="BO32" s="11"/>
      <c r="BP32" s="11"/>
      <c r="BQ32" s="11"/>
      <c r="BR32" s="11"/>
      <c r="BS32" s="11"/>
      <c r="BT32" s="11"/>
      <c r="BU32" s="11"/>
      <c r="BV32" s="11"/>
      <c r="BW32" s="11"/>
      <c r="BX32" s="11"/>
      <c r="BY32" s="11"/>
      <c r="BZ32" s="11"/>
    </row>
    <row r="33" spans="1:78" ht="3" hidden="1" customHeight="1" thickBot="1" x14ac:dyDescent="0.25">
      <c r="A33" s="110"/>
      <c r="B33" s="661"/>
      <c r="C33" s="698"/>
      <c r="D33" s="698"/>
      <c r="E33" s="698"/>
      <c r="F33" s="699"/>
      <c r="G33" s="699"/>
      <c r="H33" s="699"/>
      <c r="I33" s="699"/>
      <c r="J33" s="34"/>
      <c r="K33" s="11"/>
      <c r="L33" s="11"/>
      <c r="M33" s="11"/>
      <c r="N33" s="83"/>
      <c r="O33" s="11"/>
      <c r="P33" s="49"/>
      <c r="Q33" s="49"/>
      <c r="R33" s="49"/>
      <c r="S33" s="49"/>
      <c r="T33" s="49"/>
      <c r="U33" s="49"/>
      <c r="V33" s="49"/>
      <c r="W33" s="49"/>
      <c r="X33" s="49"/>
      <c r="Y33" s="49"/>
      <c r="Z33" s="1"/>
      <c r="AA33" s="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f>IF(C15=Variables!E7,1,0)</f>
        <v>0</v>
      </c>
      <c r="BD33" s="11"/>
      <c r="BE33" s="11"/>
      <c r="BF33" s="11"/>
      <c r="BG33" s="11"/>
      <c r="BH33" s="11">
        <f>SUM(BH27:BH32)</f>
        <v>0</v>
      </c>
      <c r="BI33" s="11"/>
      <c r="BJ33" s="11"/>
      <c r="BK33" s="11"/>
      <c r="BL33" s="11"/>
      <c r="BM33" s="11"/>
      <c r="BN33" s="11"/>
      <c r="BO33" s="11"/>
      <c r="BP33" s="11"/>
      <c r="BQ33" s="11"/>
      <c r="BR33" s="11"/>
      <c r="BS33" s="11"/>
      <c r="BT33" s="11"/>
      <c r="BU33" s="11"/>
      <c r="BV33" s="11"/>
      <c r="BW33" s="11"/>
      <c r="BX33" s="11"/>
      <c r="BY33" s="11"/>
      <c r="BZ33" s="11"/>
    </row>
    <row r="34" spans="1:78" ht="18" hidden="1" customHeight="1" thickBot="1" x14ac:dyDescent="0.25">
      <c r="A34" s="110"/>
      <c r="B34" s="680" t="s">
        <v>1566</v>
      </c>
      <c r="C34" s="682"/>
      <c r="D34" s="678"/>
      <c r="E34" s="659"/>
      <c r="F34" s="72"/>
      <c r="G34" s="72"/>
      <c r="H34" s="72"/>
      <c r="I34" s="72"/>
      <c r="J34" s="34"/>
      <c r="K34" s="11"/>
      <c r="L34" s="11"/>
      <c r="M34" s="11"/>
      <c r="N34" s="83"/>
      <c r="O34" s="11"/>
      <c r="P34" s="49"/>
      <c r="Q34" s="49"/>
      <c r="R34" s="49"/>
      <c r="S34" s="49"/>
      <c r="T34" s="49"/>
      <c r="U34" s="49"/>
      <c r="V34" s="49"/>
      <c r="W34" s="49"/>
      <c r="X34" s="49"/>
      <c r="Y34" s="49"/>
      <c r="Z34" s="1"/>
      <c r="AA34" s="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f>IF(C15=Variables!E3,1,0)</f>
        <v>0</v>
      </c>
      <c r="BD34" s="11"/>
      <c r="BE34" s="11"/>
      <c r="BF34" s="11"/>
      <c r="BG34" s="11"/>
      <c r="BH34" s="11"/>
      <c r="BI34" s="11"/>
      <c r="BJ34" s="11"/>
      <c r="BK34" s="11"/>
      <c r="BL34" s="11"/>
      <c r="BM34" s="11"/>
      <c r="BN34" s="11"/>
      <c r="BO34" s="11"/>
      <c r="BP34" s="11"/>
      <c r="BQ34" s="11"/>
      <c r="BR34" s="11"/>
      <c r="BS34" s="11"/>
      <c r="BT34" s="11"/>
      <c r="BU34" s="11"/>
      <c r="BV34" s="11"/>
      <c r="BW34" s="11"/>
      <c r="BX34" s="11"/>
      <c r="BY34" s="11"/>
      <c r="BZ34" s="11"/>
    </row>
    <row r="35" spans="1:78" ht="9.75" hidden="1" customHeight="1" x14ac:dyDescent="0.2">
      <c r="A35" s="26"/>
      <c r="B35" s="938"/>
      <c r="C35" s="938"/>
      <c r="D35" s="938"/>
      <c r="E35" s="938"/>
      <c r="F35" s="938"/>
      <c r="G35" s="938"/>
      <c r="H35" s="938"/>
      <c r="I35" s="938"/>
      <c r="J35" s="671"/>
      <c r="K35" s="11"/>
      <c r="L35" s="11"/>
      <c r="M35" s="11"/>
      <c r="N35" s="83"/>
      <c r="O35" s="11"/>
      <c r="P35" s="847" t="s">
        <v>1623</v>
      </c>
      <c r="Q35" s="847"/>
      <c r="R35" s="847"/>
      <c r="S35" s="847"/>
      <c r="T35" s="847"/>
      <c r="U35" s="847"/>
      <c r="V35" s="847"/>
      <c r="W35" s="847"/>
      <c r="X35" s="847"/>
      <c r="Y35" s="847"/>
      <c r="Z35" s="1"/>
      <c r="AA35" s="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f>SUM(BC33:BC34)</f>
        <v>0</v>
      </c>
      <c r="BD35" s="11"/>
      <c r="BE35" s="11"/>
      <c r="BF35" s="11"/>
      <c r="BG35" s="11"/>
      <c r="BH35" s="11"/>
      <c r="BI35" s="11"/>
      <c r="BJ35" s="11"/>
      <c r="BK35" s="11"/>
      <c r="BL35" s="11"/>
      <c r="BM35" s="11"/>
      <c r="BN35" s="11"/>
      <c r="BO35" s="11"/>
      <c r="BP35" s="11"/>
      <c r="BQ35" s="11"/>
      <c r="BR35" s="11"/>
      <c r="BS35" s="11"/>
      <c r="BT35" s="11"/>
      <c r="BU35" s="11"/>
      <c r="BV35" s="11"/>
      <c r="BW35" s="11"/>
      <c r="BX35" s="11"/>
      <c r="BY35" s="11"/>
      <c r="BZ35" s="11"/>
    </row>
    <row r="36" spans="1:78" ht="21" hidden="1" customHeight="1" x14ac:dyDescent="0.2">
      <c r="A36" s="711"/>
      <c r="B36" s="939" t="str">
        <f>BA78</f>
        <v>SELECT REQUIRED PCA &amp; PLUMBING INSPECTIONS BELOW - NOTE: N/A = SELECTION NOT APPLICABLE</v>
      </c>
      <c r="C36" s="939"/>
      <c r="D36" s="939"/>
      <c r="E36" s="939"/>
      <c r="F36" s="939"/>
      <c r="G36" s="939"/>
      <c r="H36" s="939"/>
      <c r="I36" s="939"/>
      <c r="J36" s="671"/>
      <c r="K36" s="11"/>
      <c r="L36" s="11" t="s">
        <v>292</v>
      </c>
      <c r="M36" s="11"/>
      <c r="N36" s="83"/>
      <c r="O36" s="11"/>
      <c r="P36" s="811" t="s">
        <v>0</v>
      </c>
      <c r="Q36" s="812">
        <f>CEILING(C13,1000)</f>
        <v>0</v>
      </c>
      <c r="R36" s="811"/>
      <c r="S36" s="813" t="s">
        <v>1</v>
      </c>
      <c r="T36" s="813" t="s">
        <v>2</v>
      </c>
      <c r="U36" s="813" t="s">
        <v>3</v>
      </c>
      <c r="V36" s="813" t="s">
        <v>4</v>
      </c>
      <c r="W36" s="813" t="s">
        <v>5</v>
      </c>
      <c r="X36" s="813" t="s">
        <v>6</v>
      </c>
      <c r="Y36" s="813" t="s">
        <v>7</v>
      </c>
      <c r="Z36" s="1"/>
      <c r="AA36" s="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row>
    <row r="37" spans="1:78" ht="3.75" hidden="1" customHeight="1" thickBot="1" x14ac:dyDescent="0.25">
      <c r="A37" s="26"/>
      <c r="B37" s="938"/>
      <c r="C37" s="938"/>
      <c r="D37" s="938"/>
      <c r="E37" s="938"/>
      <c r="F37" s="938"/>
      <c r="G37" s="938"/>
      <c r="H37" s="938"/>
      <c r="I37" s="938"/>
      <c r="J37" s="689"/>
      <c r="K37" s="11"/>
      <c r="L37" s="11"/>
      <c r="M37" s="11"/>
      <c r="N37" s="83"/>
      <c r="O37" s="11"/>
      <c r="P37" s="811"/>
      <c r="Q37" s="812"/>
      <c r="R37" s="811"/>
      <c r="S37" s="813"/>
      <c r="T37" s="813"/>
      <c r="U37" s="813"/>
      <c r="V37" s="813"/>
      <c r="W37" s="813"/>
      <c r="X37" s="813"/>
      <c r="Y37" s="813"/>
      <c r="Z37" s="1"/>
      <c r="AA37" s="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row>
    <row r="38" spans="1:78" ht="18.75" hidden="1" customHeight="1" thickBot="1" x14ac:dyDescent="0.25">
      <c r="A38" s="26"/>
      <c r="B38" s="111" t="s">
        <v>1547</v>
      </c>
      <c r="C38" s="682"/>
      <c r="D38" s="934" t="str">
        <f>IF(C38="Yes","&lt;&lt; - S68 Applications for Permits Include fee estimation for Inspections ","")</f>
        <v/>
      </c>
      <c r="E38" s="935"/>
      <c r="F38" s="935"/>
      <c r="G38" s="935"/>
      <c r="H38" s="935"/>
      <c r="I38" s="935"/>
      <c r="J38" s="689"/>
      <c r="K38" s="11"/>
      <c r="L38" s="11"/>
      <c r="M38" s="11"/>
      <c r="N38" s="83"/>
      <c r="O38" s="11"/>
      <c r="P38" s="811"/>
      <c r="Q38" s="811"/>
      <c r="R38" s="811"/>
      <c r="S38" s="814">
        <v>-1</v>
      </c>
      <c r="T38" s="814">
        <v>5000</v>
      </c>
      <c r="U38" s="815" t="str">
        <f>IF(Q36&lt;=S38,"NO",IF(Q36&gt;T38,"NO","YES"))</f>
        <v>YES</v>
      </c>
      <c r="V38" s="814">
        <v>0</v>
      </c>
      <c r="W38" s="816">
        <f>IF(U38="NO",0,(Q36-V38)/1000)</f>
        <v>0</v>
      </c>
      <c r="X38" s="811">
        <v>110</v>
      </c>
      <c r="Y38" s="811">
        <v>0</v>
      </c>
      <c r="Z38" s="1"/>
      <c r="AA38" s="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row>
    <row r="39" spans="1:78" ht="3" hidden="1" customHeight="1" x14ac:dyDescent="0.2">
      <c r="A39" s="26"/>
      <c r="B39" s="658"/>
      <c r="C39" s="658"/>
      <c r="D39" s="658"/>
      <c r="E39" s="658"/>
      <c r="F39" s="674"/>
      <c r="G39" s="674"/>
      <c r="H39" s="674"/>
      <c r="I39" s="674"/>
      <c r="J39" s="23"/>
      <c r="K39" s="11"/>
      <c r="L39" s="11"/>
      <c r="M39" s="11"/>
      <c r="N39" s="83"/>
      <c r="O39" s="11"/>
      <c r="P39" s="811"/>
      <c r="Q39" s="811"/>
      <c r="R39" s="811"/>
      <c r="S39" s="814"/>
      <c r="T39" s="814"/>
      <c r="U39" s="815"/>
      <c r="V39" s="814"/>
      <c r="W39" s="816"/>
      <c r="X39" s="811"/>
      <c r="Y39" s="811"/>
      <c r="Z39" s="1"/>
      <c r="AA39" s="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row>
    <row r="40" spans="1:78" ht="19.5" hidden="1" customHeight="1" thickBot="1" x14ac:dyDescent="0.25">
      <c r="A40" s="26"/>
      <c r="B40" s="683" t="s">
        <v>1560</v>
      </c>
      <c r="C40" s="682"/>
      <c r="D40" s="684"/>
      <c r="E40" s="22"/>
      <c r="F40" s="674"/>
      <c r="G40" s="674"/>
      <c r="H40" s="674"/>
      <c r="I40" s="674"/>
      <c r="J40" s="713"/>
      <c r="K40" s="11"/>
      <c r="L40" s="11"/>
      <c r="M40" s="11"/>
      <c r="N40" s="83"/>
      <c r="O40" s="11"/>
      <c r="P40" s="811"/>
      <c r="Q40" s="811"/>
      <c r="R40" s="811"/>
      <c r="S40" s="814"/>
      <c r="T40" s="814"/>
      <c r="U40" s="815"/>
      <c r="V40" s="814"/>
      <c r="W40" s="816"/>
      <c r="X40" s="811"/>
      <c r="Y40" s="811"/>
      <c r="Z40" s="1"/>
      <c r="AA40" s="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row>
    <row r="41" spans="1:78" ht="3.75" hidden="1" customHeight="1" thickBot="1" x14ac:dyDescent="0.25">
      <c r="A41" s="26"/>
      <c r="B41" s="19"/>
      <c r="C41" s="23"/>
      <c r="D41" s="659"/>
      <c r="E41" s="22"/>
      <c r="F41" s="674"/>
      <c r="G41" s="674"/>
      <c r="H41" s="674"/>
      <c r="I41" s="674"/>
      <c r="J41" s="28"/>
      <c r="K41" s="11"/>
      <c r="L41" s="11"/>
      <c r="M41" s="11"/>
      <c r="N41" s="83"/>
      <c r="O41" s="11"/>
      <c r="P41" s="811"/>
      <c r="Q41" s="811"/>
      <c r="R41" s="811"/>
      <c r="S41" s="814"/>
      <c r="T41" s="814"/>
      <c r="U41" s="815"/>
      <c r="V41" s="814"/>
      <c r="W41" s="816"/>
      <c r="X41" s="811"/>
      <c r="Y41" s="811"/>
      <c r="Z41" s="1"/>
      <c r="AA41" s="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row>
    <row r="42" spans="1:78" ht="19.5" hidden="1" customHeight="1" thickBot="1" x14ac:dyDescent="0.25">
      <c r="A42" s="26"/>
      <c r="B42" s="683" t="s">
        <v>1561</v>
      </c>
      <c r="C42" s="682"/>
      <c r="D42" s="936"/>
      <c r="E42" s="937"/>
      <c r="F42" s="937"/>
      <c r="G42" s="937"/>
      <c r="H42" s="937"/>
      <c r="I42" s="937"/>
      <c r="J42" s="28"/>
      <c r="K42" s="11"/>
      <c r="L42" s="11"/>
      <c r="M42" s="11"/>
      <c r="N42" s="83"/>
      <c r="O42" s="11"/>
      <c r="P42" s="811"/>
      <c r="Q42" s="811"/>
      <c r="R42" s="811"/>
      <c r="S42" s="814"/>
      <c r="T42" s="814"/>
      <c r="U42" s="815"/>
      <c r="V42" s="814"/>
      <c r="W42" s="816"/>
      <c r="X42" s="811"/>
      <c r="Y42" s="811"/>
      <c r="Z42" s="1"/>
      <c r="AA42" s="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row>
    <row r="43" spans="1:78" ht="3" hidden="1" customHeight="1" thickBot="1" x14ac:dyDescent="0.25">
      <c r="A43" s="26"/>
      <c r="B43" s="19"/>
      <c r="C43" s="23"/>
      <c r="D43" s="659"/>
      <c r="E43" s="22"/>
      <c r="F43" s="933"/>
      <c r="G43" s="933"/>
      <c r="H43" s="933"/>
      <c r="I43" s="933"/>
      <c r="J43" s="28"/>
      <c r="K43" s="11"/>
      <c r="L43" s="54"/>
      <c r="M43" s="11"/>
      <c r="N43" s="83"/>
      <c r="O43" s="11"/>
      <c r="P43" s="811" t="s">
        <v>11</v>
      </c>
      <c r="Q43" s="817">
        <f>VLOOKUP("YES",U$38:X$53,4,FALSE)+(VLOOKUP("YES",U$38:Y$53,5,FALSE)*VLOOKUP("YES",U$38:W$53,3,FALSE))</f>
        <v>110</v>
      </c>
      <c r="R43" s="811"/>
      <c r="S43" s="814">
        <v>5000</v>
      </c>
      <c r="T43" s="814">
        <v>50000</v>
      </c>
      <c r="U43" s="815" t="str">
        <f>IF(Q36&lt;=S43,"NO",IF(Q36&gt;T43,"NO","YES"))</f>
        <v>NO</v>
      </c>
      <c r="V43" s="814">
        <v>0</v>
      </c>
      <c r="W43" s="818">
        <f>IF(U43="NO",0,(Q36-V43)/1000)</f>
        <v>0</v>
      </c>
      <c r="X43" s="811">
        <v>170</v>
      </c>
      <c r="Y43" s="811">
        <v>3</v>
      </c>
      <c r="Z43" s="1"/>
      <c r="AA43" s="970"/>
      <c r="AB43" s="970"/>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row>
    <row r="44" spans="1:78" ht="20.25" hidden="1" customHeight="1" thickBot="1" x14ac:dyDescent="0.25">
      <c r="A44" s="32"/>
      <c r="B44" s="683" t="s">
        <v>1562</v>
      </c>
      <c r="C44" s="682"/>
      <c r="D44" s="684"/>
      <c r="E44" s="22"/>
      <c r="F44" s="676"/>
      <c r="G44" s="677"/>
      <c r="H44" s="677"/>
      <c r="I44" s="677"/>
      <c r="J44" s="28"/>
      <c r="K44" s="11"/>
      <c r="L44" s="11"/>
      <c r="M44" s="11"/>
      <c r="N44" s="83"/>
      <c r="O44" s="11"/>
      <c r="P44" s="811"/>
      <c r="Q44" s="817">
        <f>Q43</f>
        <v>110</v>
      </c>
      <c r="R44" s="811"/>
      <c r="S44" s="814"/>
      <c r="T44" s="814"/>
      <c r="U44" s="815"/>
      <c r="V44" s="814"/>
      <c r="W44" s="816"/>
      <c r="X44" s="811"/>
      <c r="Y44" s="811"/>
      <c r="Z44" s="1"/>
      <c r="AA44" s="970"/>
      <c r="AB44" s="970"/>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row>
    <row r="45" spans="1:78" ht="13.5" hidden="1" thickBot="1" x14ac:dyDescent="0.25">
      <c r="A45" s="34"/>
      <c r="B45" s="19"/>
      <c r="C45" s="23"/>
      <c r="D45" s="659"/>
      <c r="E45" s="22"/>
      <c r="F45" s="662"/>
      <c r="G45" s="662"/>
      <c r="H45" s="662"/>
      <c r="I45" s="662"/>
      <c r="J45" s="713"/>
      <c r="K45" s="11"/>
      <c r="L45" s="11"/>
      <c r="M45" s="11"/>
      <c r="N45" s="42"/>
      <c r="O45" s="11"/>
      <c r="P45" s="811"/>
      <c r="Q45" s="817"/>
      <c r="R45" s="811"/>
      <c r="S45" s="814"/>
      <c r="T45" s="814"/>
      <c r="U45" s="815"/>
      <c r="V45" s="814"/>
      <c r="W45" s="816"/>
      <c r="X45" s="811"/>
      <c r="Y45" s="811"/>
      <c r="Z45" s="1"/>
      <c r="AA45" s="970"/>
      <c r="AB45" s="970"/>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row>
    <row r="46" spans="1:78" ht="18.75" hidden="1" customHeight="1" thickBot="1" x14ac:dyDescent="0.3">
      <c r="A46" s="109"/>
      <c r="B46" s="683" t="s">
        <v>1563</v>
      </c>
      <c r="C46" s="682"/>
      <c r="D46" s="934" t="str">
        <f>Variables!Y1</f>
        <v>&lt;&lt; - Includes Sewer Permit</v>
      </c>
      <c r="E46" s="935"/>
      <c r="F46" s="935"/>
      <c r="G46" s="935"/>
      <c r="H46" s="935"/>
      <c r="I46" s="935"/>
      <c r="J46" s="714"/>
      <c r="K46" s="11"/>
      <c r="L46" s="11"/>
      <c r="M46" s="42"/>
      <c r="N46" s="83"/>
      <c r="O46" s="11"/>
      <c r="P46" s="811"/>
      <c r="Q46" s="817"/>
      <c r="R46" s="811"/>
      <c r="S46" s="814"/>
      <c r="T46" s="814"/>
      <c r="U46" s="815"/>
      <c r="V46" s="814"/>
      <c r="W46" s="816"/>
      <c r="X46" s="811"/>
      <c r="Y46" s="811"/>
      <c r="Z46" s="1"/>
      <c r="AA46" s="970"/>
      <c r="AB46" s="970"/>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row>
    <row r="47" spans="1:78" ht="3" hidden="1" customHeight="1" thickBot="1" x14ac:dyDescent="0.3">
      <c r="A47" s="671"/>
      <c r="B47" s="672"/>
      <c r="C47" s="671"/>
      <c r="D47" s="696"/>
      <c r="E47" s="696"/>
      <c r="F47" s="697"/>
      <c r="G47" s="697"/>
      <c r="H47" s="697"/>
      <c r="I47" s="697"/>
      <c r="J47" s="713"/>
      <c r="K47" s="11"/>
      <c r="L47" s="11"/>
      <c r="M47" s="11"/>
      <c r="N47" s="83" t="str">
        <f>IF(C15="Advertising Structure",Variables!B24,"")</f>
        <v/>
      </c>
      <c r="O47" s="42"/>
      <c r="P47" s="819"/>
      <c r="Q47" s="819"/>
      <c r="R47" s="819"/>
      <c r="S47" s="820">
        <v>50001</v>
      </c>
      <c r="T47" s="820">
        <v>250000</v>
      </c>
      <c r="U47" s="821" t="str">
        <f>IF(Q36&lt;=S47,"NO",IF($C$13&gt;T47,"NO","YES"))</f>
        <v>NO</v>
      </c>
      <c r="V47" s="820">
        <v>50000</v>
      </c>
      <c r="W47" s="822">
        <f>IF(U47="NO",0,(Q36-V47)/1000)</f>
        <v>0</v>
      </c>
      <c r="X47" s="819">
        <v>352</v>
      </c>
      <c r="Y47" s="819">
        <v>3.64</v>
      </c>
      <c r="Z47" s="51"/>
      <c r="AA47" s="971"/>
      <c r="AB47" s="971"/>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11"/>
      <c r="BC47" s="11"/>
      <c r="BD47" s="11"/>
      <c r="BE47" s="11"/>
      <c r="BF47" s="11"/>
      <c r="BG47" s="11"/>
      <c r="BH47" s="11"/>
      <c r="BI47" s="11"/>
      <c r="BJ47" s="11"/>
      <c r="BK47" s="11"/>
      <c r="BL47" s="11"/>
      <c r="BM47" s="11"/>
      <c r="BN47" s="11"/>
      <c r="BO47" s="42"/>
      <c r="BP47" s="42"/>
      <c r="BQ47" s="42"/>
      <c r="BR47" s="42"/>
      <c r="BS47" s="42"/>
      <c r="BT47" s="42"/>
      <c r="BU47" s="42"/>
      <c r="BV47" s="42"/>
      <c r="BW47" s="42"/>
      <c r="BX47" s="42"/>
      <c r="BY47" s="42"/>
      <c r="BZ47" s="42"/>
    </row>
    <row r="48" spans="1:78" ht="18" hidden="1" customHeight="1" thickBot="1" x14ac:dyDescent="0.3">
      <c r="A48" s="109"/>
      <c r="B48" s="683" t="s">
        <v>1564</v>
      </c>
      <c r="C48" s="682"/>
      <c r="D48" s="952"/>
      <c r="E48" s="962"/>
      <c r="F48" s="962"/>
      <c r="G48" s="962"/>
      <c r="H48" s="962"/>
      <c r="I48" s="962"/>
      <c r="J48" s="713"/>
      <c r="K48" s="11"/>
      <c r="L48" s="42"/>
      <c r="M48" s="11"/>
      <c r="N48" s="83"/>
      <c r="O48" s="11"/>
      <c r="P48" s="811"/>
      <c r="Q48" s="811"/>
      <c r="R48" s="811"/>
      <c r="S48" s="814"/>
      <c r="T48" s="814"/>
      <c r="U48" s="815"/>
      <c r="V48" s="814"/>
      <c r="W48" s="816"/>
      <c r="X48" s="811"/>
      <c r="Y48" s="811"/>
      <c r="Z48" s="1"/>
      <c r="AA48" s="970"/>
      <c r="AB48" s="970"/>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row>
    <row r="49" spans="1:78" ht="3" hidden="1" customHeight="1" thickBot="1" x14ac:dyDescent="0.25">
      <c r="A49" s="689"/>
      <c r="B49" s="688"/>
      <c r="C49" s="689"/>
      <c r="D49" s="689"/>
      <c r="E49" s="22"/>
      <c r="F49" s="686"/>
      <c r="G49" s="686"/>
      <c r="H49" s="686"/>
      <c r="I49" s="686"/>
      <c r="J49" s="713"/>
      <c r="K49" s="11"/>
      <c r="L49" s="42"/>
      <c r="M49" s="11"/>
      <c r="N49" s="83"/>
      <c r="O49" s="11"/>
      <c r="P49" s="811"/>
      <c r="Q49" s="811"/>
      <c r="R49" s="811"/>
      <c r="S49" s="814">
        <v>250001</v>
      </c>
      <c r="T49" s="814">
        <v>500000</v>
      </c>
      <c r="U49" s="815" t="str">
        <f>IF($C$13&lt;=S49,"NO",IF($C$13&gt;T49,"NO","YES"))</f>
        <v>NO</v>
      </c>
      <c r="V49" s="814">
        <v>250000</v>
      </c>
      <c r="W49" s="816">
        <f>IF(U49="NO",0,(Q36-V49)/1000)</f>
        <v>0</v>
      </c>
      <c r="X49" s="811">
        <v>1160</v>
      </c>
      <c r="Y49" s="811">
        <v>2.34</v>
      </c>
      <c r="Z49" s="1"/>
      <c r="AA49" s="970"/>
      <c r="AB49" s="970"/>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row>
    <row r="50" spans="1:78" ht="18" hidden="1" customHeight="1" thickBot="1" x14ac:dyDescent="0.3">
      <c r="A50" s="109"/>
      <c r="B50" s="683" t="s">
        <v>1565</v>
      </c>
      <c r="C50" s="682"/>
      <c r="D50" s="934"/>
      <c r="E50" s="935"/>
      <c r="F50" s="935"/>
      <c r="G50" s="935"/>
      <c r="H50" s="935"/>
      <c r="I50" s="935"/>
      <c r="J50" s="23"/>
      <c r="K50" s="11"/>
      <c r="L50" s="11" t="str">
        <f>IF(I19&lt;&gt;"",L49*I19,"")</f>
        <v/>
      </c>
      <c r="M50" s="11"/>
      <c r="N50" s="83" t="str">
        <f>IF(OR(C15="Demolition",C15="Change of Use",C15="Temporary Structure"),Variables!B51,"")</f>
        <v/>
      </c>
      <c r="O50" s="11"/>
      <c r="P50" s="811"/>
      <c r="Q50" s="811"/>
      <c r="R50" s="811"/>
      <c r="S50" s="814">
        <v>500001</v>
      </c>
      <c r="T50" s="814">
        <v>1000000</v>
      </c>
      <c r="U50" s="815" t="str">
        <f>IF($C$13&lt;=S50,"NO",IF($C$13&gt;T50,"NO","YES"))</f>
        <v>NO</v>
      </c>
      <c r="V50" s="814">
        <v>500000</v>
      </c>
      <c r="W50" s="816">
        <f>IF(U50="NO",0,(Q36-V50)/1000)</f>
        <v>0</v>
      </c>
      <c r="X50" s="811">
        <v>1745</v>
      </c>
      <c r="Y50" s="811">
        <v>1.64</v>
      </c>
      <c r="Z50" s="1"/>
      <c r="AA50" s="972"/>
      <c r="AB50" s="972"/>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42"/>
      <c r="BC50" s="42"/>
      <c r="BD50" s="42"/>
      <c r="BE50" s="42"/>
      <c r="BF50" s="42"/>
      <c r="BG50" s="42"/>
      <c r="BH50" s="42"/>
      <c r="BI50" s="42"/>
      <c r="BJ50" s="42"/>
      <c r="BK50" s="42"/>
      <c r="BL50" s="42"/>
      <c r="BM50" s="42"/>
      <c r="BN50" s="42"/>
      <c r="BO50" s="11"/>
      <c r="BP50" s="11"/>
      <c r="BQ50" s="11"/>
      <c r="BR50" s="11"/>
      <c r="BS50" s="11"/>
      <c r="BT50" s="11"/>
      <c r="BU50" s="11"/>
      <c r="BV50" s="11"/>
      <c r="BW50" s="11"/>
      <c r="BX50" s="11"/>
      <c r="BY50" s="11"/>
      <c r="BZ50" s="11"/>
    </row>
    <row r="51" spans="1:78" ht="13.5" hidden="1" thickBot="1" x14ac:dyDescent="0.25">
      <c r="A51" s="26"/>
      <c r="B51" s="132"/>
      <c r="C51" s="132"/>
      <c r="D51" s="132"/>
      <c r="E51" s="657"/>
      <c r="F51" s="675"/>
      <c r="G51" s="675"/>
      <c r="H51" s="675"/>
      <c r="I51" s="662"/>
      <c r="J51" s="23"/>
      <c r="K51" s="11"/>
      <c r="L51" s="11"/>
      <c r="M51" s="11"/>
      <c r="N51" s="83"/>
      <c r="O51" s="11"/>
      <c r="P51" s="811"/>
      <c r="Q51" s="811"/>
      <c r="R51" s="811"/>
      <c r="S51" s="814"/>
      <c r="T51" s="814"/>
      <c r="U51" s="815"/>
      <c r="V51" s="814"/>
      <c r="W51" s="816"/>
      <c r="X51" s="811"/>
      <c r="Y51" s="811"/>
      <c r="Z51" s="1"/>
      <c r="AA51" s="973"/>
      <c r="AB51" s="973"/>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row>
    <row r="52" spans="1:78" hidden="1" x14ac:dyDescent="0.2">
      <c r="A52" s="26"/>
      <c r="B52" s="871" t="s">
        <v>25</v>
      </c>
      <c r="C52" s="37"/>
      <c r="D52" s="678"/>
      <c r="E52" s="728"/>
      <c r="F52" s="985" t="s">
        <v>64</v>
      </c>
      <c r="G52" s="985"/>
      <c r="H52" s="985"/>
      <c r="I52" s="985"/>
      <c r="J52" s="735"/>
      <c r="K52" s="11"/>
      <c r="L52" s="11"/>
      <c r="M52" s="11"/>
      <c r="N52" s="83"/>
      <c r="O52" s="11"/>
      <c r="P52" s="811"/>
      <c r="Q52" s="811"/>
      <c r="R52" s="811"/>
      <c r="S52" s="814">
        <v>1000001</v>
      </c>
      <c r="T52" s="814">
        <v>10000000</v>
      </c>
      <c r="U52" s="815" t="str">
        <f>IF($C$13&lt;=S52,"NO",IF($C$13&gt;T52,"NO","YES"))</f>
        <v>NO</v>
      </c>
      <c r="V52" s="814">
        <v>1000000</v>
      </c>
      <c r="W52" s="816">
        <f>IF(U52="NO",0,(Q36-V52)/1000)</f>
        <v>0</v>
      </c>
      <c r="X52" s="811">
        <v>2615</v>
      </c>
      <c r="Y52" s="811">
        <v>1.44</v>
      </c>
      <c r="Z52" s="1"/>
      <c r="AA52" s="973"/>
      <c r="AB52" s="973"/>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row>
    <row r="53" spans="1:78" ht="5.25" hidden="1" customHeight="1" x14ac:dyDescent="0.2">
      <c r="A53" s="71"/>
      <c r="B53" s="62"/>
      <c r="C53" s="23"/>
      <c r="D53" s="23"/>
      <c r="E53" s="729"/>
      <c r="F53" s="986"/>
      <c r="G53" s="986"/>
      <c r="H53" s="986"/>
      <c r="I53" s="986"/>
      <c r="J53" s="736"/>
      <c r="K53" s="11"/>
      <c r="L53" s="11"/>
      <c r="M53" s="11"/>
      <c r="N53" s="83"/>
      <c r="O53" s="11"/>
      <c r="P53" s="823" t="s">
        <v>13</v>
      </c>
      <c r="Q53" s="824"/>
      <c r="R53" s="824"/>
      <c r="S53" s="825">
        <v>10000001</v>
      </c>
      <c r="T53" s="825">
        <v>99999999999</v>
      </c>
      <c r="U53" s="815" t="str">
        <f>IF($C$13&lt;=S53,"NO",IF($C$13&gt;T53,"NO","YES"))</f>
        <v>NO</v>
      </c>
      <c r="V53" s="825">
        <v>10000000</v>
      </c>
      <c r="W53" s="816">
        <f>IF(U53="NO",0,(Q36-V53)/1000)</f>
        <v>0</v>
      </c>
      <c r="X53" s="825">
        <v>15875</v>
      </c>
      <c r="Y53" s="825">
        <v>1.19</v>
      </c>
      <c r="Z53" s="1"/>
      <c r="AA53" s="972"/>
      <c r="AB53" s="972"/>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row>
    <row r="54" spans="1:78" hidden="1" x14ac:dyDescent="0.2">
      <c r="A54" s="26"/>
      <c r="B54" s="871" t="s">
        <v>26</v>
      </c>
      <c r="C54" s="37"/>
      <c r="D54" s="678"/>
      <c r="E54" s="729"/>
      <c r="F54" s="986"/>
      <c r="G54" s="986"/>
      <c r="H54" s="986"/>
      <c r="I54" s="986"/>
      <c r="J54" s="736"/>
      <c r="K54" s="11"/>
      <c r="L54" s="11"/>
      <c r="M54" s="11"/>
      <c r="N54" s="83"/>
      <c r="O54" s="11"/>
      <c r="P54" s="809"/>
      <c r="Q54" s="809"/>
      <c r="R54" s="809"/>
      <c r="S54" s="814"/>
      <c r="T54" s="814"/>
      <c r="U54" s="815"/>
      <c r="V54" s="814"/>
      <c r="W54" s="816">
        <f t="shared" ref="W54" si="1">IF(U54="NO",0,(Q38-V54)/1000)</f>
        <v>0</v>
      </c>
      <c r="X54" s="809"/>
      <c r="Y54" s="809"/>
      <c r="Z54" s="1"/>
      <c r="AA54" s="1"/>
      <c r="AB54" s="11"/>
      <c r="AC54" s="11"/>
      <c r="AD54" s="94"/>
      <c r="AE54" s="94"/>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row>
    <row r="55" spans="1:78" ht="3.75" hidden="1" customHeight="1" x14ac:dyDescent="0.2">
      <c r="A55" s="70"/>
      <c r="B55" s="663"/>
      <c r="C55" s="663"/>
      <c r="D55" s="663"/>
      <c r="E55" s="730"/>
      <c r="F55" s="986"/>
      <c r="G55" s="986"/>
      <c r="H55" s="986"/>
      <c r="I55" s="986"/>
      <c r="J55" s="736"/>
      <c r="K55" s="853" t="s">
        <v>437</v>
      </c>
      <c r="L55" s="102">
        <f>IF(AND(C54&lt;&gt;"Yes",C29&lt;&gt;"Yes"),1,"")</f>
        <v>1</v>
      </c>
      <c r="M55" s="102"/>
      <c r="N55" s="83"/>
      <c r="O55" s="11"/>
      <c r="P55" s="1"/>
      <c r="Q55" s="1"/>
      <c r="R55" s="1"/>
      <c r="S55" s="1"/>
      <c r="T55" s="1"/>
      <c r="U55" s="1"/>
      <c r="V55" s="1"/>
      <c r="W55" s="1"/>
      <c r="X55" s="1"/>
      <c r="Y55" s="1"/>
      <c r="Z55" s="1"/>
      <c r="AA55" s="1"/>
      <c r="AB55" s="11"/>
      <c r="AC55" s="11"/>
      <c r="AD55" s="94"/>
      <c r="AE55" s="103"/>
      <c r="AF55" s="54">
        <f>AE55</f>
        <v>0</v>
      </c>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row>
    <row r="56" spans="1:78" hidden="1" x14ac:dyDescent="0.2">
      <c r="A56" s="65"/>
      <c r="B56" s="62" t="s">
        <v>14</v>
      </c>
      <c r="C56" s="37"/>
      <c r="D56" s="678"/>
      <c r="E56" s="731"/>
      <c r="F56" s="924" t="s">
        <v>1558</v>
      </c>
      <c r="G56" s="925"/>
      <c r="H56" s="926"/>
      <c r="I56" s="38"/>
      <c r="J56" s="736"/>
      <c r="K56" s="102" t="str">
        <f>IF(C29="Yes","Yes","")</f>
        <v/>
      </c>
      <c r="L56" s="852" t="str">
        <f>IF(C29="Yes",Variables!B56,"")</f>
        <v/>
      </c>
      <c r="M56" s="102"/>
      <c r="N56" s="83"/>
      <c r="O56" s="11"/>
      <c r="P56" s="45"/>
      <c r="Q56" s="1" t="str">
        <f>IF(AND(C15="Residential (Single Dwelling and/or Ancillary Buildings)",D34=TRUE,D31=TRUE),Q86*Variables!B21,"")</f>
        <v/>
      </c>
      <c r="R56" s="1"/>
      <c r="S56" s="1"/>
      <c r="T56" s="1"/>
      <c r="U56" s="1"/>
      <c r="V56" s="1"/>
      <c r="W56" s="1"/>
      <c r="X56" s="1"/>
      <c r="Y56" s="1"/>
      <c r="Z56" s="1"/>
      <c r="AA56" s="1"/>
      <c r="AB56" s="11"/>
      <c r="AC56" s="11"/>
      <c r="AD56" s="94"/>
      <c r="AE56" s="103"/>
      <c r="AF56" s="54">
        <f>AE56</f>
        <v>0</v>
      </c>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row>
    <row r="57" spans="1:78" ht="4.5" hidden="1" customHeight="1" x14ac:dyDescent="0.2">
      <c r="A57" s="71"/>
      <c r="B57" s="71"/>
      <c r="C57" s="71"/>
      <c r="D57" s="71"/>
      <c r="E57" s="732"/>
      <c r="F57" s="726"/>
      <c r="G57" s="726"/>
      <c r="H57" s="726"/>
      <c r="I57" s="726"/>
      <c r="J57" s="737"/>
      <c r="K57" s="102" t="str">
        <f>IF(C54="Yes","Yes","")</f>
        <v/>
      </c>
      <c r="L57" s="852" t="str">
        <f>IF(C54="Yes",Variables!B57,"")</f>
        <v/>
      </c>
      <c r="M57" s="102" t="str">
        <f>IFERROR(VLOOKUP("Yes",K$55:L$59,2,0),"")</f>
        <v/>
      </c>
      <c r="N57" s="83"/>
      <c r="O57" s="11"/>
      <c r="P57" s="1"/>
      <c r="Q57" s="1"/>
      <c r="R57" s="1"/>
      <c r="S57" s="1"/>
      <c r="T57" s="1"/>
      <c r="U57" s="1"/>
      <c r="V57" s="1"/>
      <c r="W57" s="1"/>
      <c r="X57" s="1"/>
      <c r="Y57" s="1"/>
      <c r="Z57" s="1"/>
      <c r="AA57" s="1"/>
      <c r="AB57" s="11"/>
      <c r="AC57" s="11"/>
      <c r="AD57" s="94"/>
      <c r="AE57" s="103"/>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row>
    <row r="58" spans="1:78" hidden="1" x14ac:dyDescent="0.2">
      <c r="A58" s="132"/>
      <c r="B58" s="62" t="s">
        <v>65</v>
      </c>
      <c r="C58" s="37"/>
      <c r="D58" s="678"/>
      <c r="E58" s="733"/>
      <c r="F58" s="927" t="s">
        <v>1559</v>
      </c>
      <c r="G58" s="928"/>
      <c r="H58" s="929"/>
      <c r="I58" s="38"/>
      <c r="J58" s="738"/>
      <c r="K58" s="102" t="str">
        <f>IF(OR(C54="No",C54=""),"","")</f>
        <v/>
      </c>
      <c r="L58" s="852"/>
      <c r="M58" s="11"/>
      <c r="N58" s="83"/>
      <c r="O58" s="11"/>
      <c r="P58" s="45"/>
      <c r="Q58" s="1"/>
      <c r="R58" s="1"/>
      <c r="S58" s="1"/>
      <c r="T58" s="1"/>
      <c r="U58" s="1"/>
      <c r="V58" s="1"/>
      <c r="W58" s="1"/>
      <c r="X58" s="1"/>
      <c r="Y58" s="1"/>
      <c r="Z58" s="1"/>
      <c r="AA58" s="1"/>
      <c r="AB58" s="11"/>
      <c r="AC58" s="11"/>
      <c r="AD58" s="94"/>
      <c r="AE58" s="103"/>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row>
    <row r="59" spans="1:78" ht="3.75" hidden="1" customHeight="1" x14ac:dyDescent="0.2">
      <c r="A59" s="132"/>
      <c r="B59" s="663"/>
      <c r="C59" s="662"/>
      <c r="D59" s="662"/>
      <c r="E59" s="734"/>
      <c r="F59" s="727"/>
      <c r="G59" s="727"/>
      <c r="H59" s="727"/>
      <c r="I59" s="727"/>
      <c r="J59" s="738"/>
      <c r="K59" s="11" t="str">
        <f>IF(C15=Variables!E9,"Yes","")</f>
        <v/>
      </c>
      <c r="L59" s="11" t="str">
        <f>IF(C15=Variables!E9,Variables!B57,"")</f>
        <v/>
      </c>
      <c r="M59" s="11"/>
      <c r="N59" s="83"/>
      <c r="O59" s="11"/>
      <c r="P59" s="1"/>
      <c r="Q59" s="1"/>
      <c r="R59" s="1"/>
      <c r="S59" s="1"/>
      <c r="T59" s="1"/>
      <c r="U59" s="1"/>
      <c r="V59" s="1"/>
      <c r="W59" s="1"/>
      <c r="X59" s="1"/>
      <c r="Y59" s="1"/>
      <c r="Z59" s="1"/>
      <c r="AA59" s="1"/>
      <c r="AB59" s="11"/>
      <c r="AC59" s="11"/>
      <c r="AD59" s="94"/>
      <c r="AE59" s="103"/>
      <c r="AF59" s="11" t="str">
        <f>IF(AND(L85&gt;0,C76&lt;&gt;""),"Y","")</f>
        <v/>
      </c>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row>
    <row r="60" spans="1:78" hidden="1" x14ac:dyDescent="0.2">
      <c r="A60" s="660"/>
      <c r="B60" s="62" t="s">
        <v>325</v>
      </c>
      <c r="C60" s="37"/>
      <c r="D60" s="678"/>
      <c r="E60" s="733"/>
      <c r="F60" s="978" t="s">
        <v>396</v>
      </c>
      <c r="G60" s="979"/>
      <c r="H60" s="980"/>
      <c r="I60" s="131"/>
      <c r="J60" s="738"/>
      <c r="K60" s="11"/>
      <c r="L60" s="11"/>
      <c r="M60" s="11"/>
      <c r="N60" s="83"/>
      <c r="O60" s="11"/>
      <c r="P60" s="1"/>
      <c r="Q60" s="1"/>
      <c r="R60" s="1"/>
      <c r="S60" s="1"/>
      <c r="T60" s="1"/>
      <c r="U60" s="1"/>
      <c r="V60" s="1"/>
      <c r="W60" s="1"/>
      <c r="X60" s="1"/>
      <c r="Y60" s="1"/>
      <c r="Z60" s="1"/>
      <c r="AA60" s="1"/>
      <c r="AB60" s="11"/>
      <c r="AC60" s="11"/>
      <c r="AD60" s="94"/>
      <c r="AE60" s="103"/>
      <c r="AF60" s="11" t="str">
        <f>IF(C15=Variables!E10,"Y","")</f>
        <v/>
      </c>
      <c r="AG60" s="11"/>
      <c r="AH60" s="11"/>
      <c r="AI60" s="11"/>
      <c r="AJ60" s="11"/>
      <c r="AK60" s="11"/>
      <c r="AL60" s="11"/>
      <c r="AM60" s="11"/>
      <c r="AN60" s="11"/>
      <c r="AO60" s="11"/>
      <c r="AP60" s="11"/>
      <c r="AQ60" s="11"/>
      <c r="AR60" s="11"/>
      <c r="AS60" s="11"/>
      <c r="AT60" s="11"/>
      <c r="AU60" s="11"/>
      <c r="AV60" s="11"/>
      <c r="AW60" s="11"/>
      <c r="AX60" s="11"/>
      <c r="AY60" s="11"/>
      <c r="AZ60" s="11"/>
      <c r="BA60" s="95"/>
      <c r="BB60" s="11"/>
      <c r="BC60" s="11"/>
      <c r="BD60" s="11"/>
      <c r="BE60" s="11"/>
      <c r="BG60" s="11"/>
      <c r="BH60" s="11"/>
      <c r="BI60" s="11"/>
      <c r="BJ60" s="11"/>
      <c r="BK60" s="11"/>
      <c r="BL60" s="11"/>
      <c r="BM60" s="11"/>
      <c r="BN60" s="11"/>
      <c r="BO60" s="11"/>
      <c r="BR60" s="11"/>
      <c r="BS60" s="11"/>
      <c r="BT60" s="11"/>
      <c r="BU60" s="11"/>
      <c r="BV60" s="11"/>
      <c r="BW60" s="11"/>
      <c r="BX60" s="11"/>
      <c r="BY60" s="11"/>
      <c r="BZ60" s="11"/>
    </row>
    <row r="61" spans="1:78" ht="4.5" hidden="1" customHeight="1" x14ac:dyDescent="0.2">
      <c r="A61" s="660"/>
      <c r="B61" s="663"/>
      <c r="C61" s="678"/>
      <c r="D61" s="679"/>
      <c r="E61" s="733"/>
      <c r="F61" s="727"/>
      <c r="G61" s="727"/>
      <c r="H61" s="727"/>
      <c r="I61" s="727"/>
      <c r="J61" s="738"/>
      <c r="K61" s="11"/>
      <c r="L61" s="11"/>
      <c r="M61" s="11"/>
      <c r="N61" s="83"/>
      <c r="O61" s="11"/>
      <c r="P61" s="1"/>
      <c r="Q61" s="1"/>
      <c r="R61" s="1"/>
      <c r="S61" s="1"/>
      <c r="T61" s="1"/>
      <c r="U61" s="1"/>
      <c r="V61" s="1"/>
      <c r="W61" s="1"/>
      <c r="X61" s="1"/>
      <c r="Y61" s="1"/>
      <c r="Z61" s="1"/>
      <c r="AA61" s="1"/>
      <c r="AB61" s="11"/>
      <c r="AC61" s="11"/>
      <c r="AD61" s="94"/>
      <c r="AE61" s="103"/>
      <c r="AF61" s="11"/>
      <c r="AG61" s="11"/>
      <c r="AH61" s="11"/>
      <c r="AI61" s="11"/>
      <c r="AJ61" s="11"/>
      <c r="AK61" s="11"/>
      <c r="AL61" s="11"/>
      <c r="AM61" s="11"/>
      <c r="AN61" s="11"/>
      <c r="AO61" s="11"/>
      <c r="AP61" s="11"/>
      <c r="AQ61" s="11"/>
      <c r="AR61" s="11"/>
      <c r="AS61" s="11"/>
      <c r="AT61" s="11"/>
      <c r="AU61" s="11"/>
      <c r="AV61" s="11"/>
      <c r="AW61" s="11"/>
      <c r="AX61" s="11"/>
      <c r="AY61" s="11"/>
      <c r="AZ61" s="11"/>
      <c r="BA61" s="98" t="e">
        <f>HLOOKUP("Y",BC61:BQ61,1,FALSE)</f>
        <v>#N/A</v>
      </c>
      <c r="BB61" s="95"/>
      <c r="BC61" s="95" t="s">
        <v>280</v>
      </c>
      <c r="BD61" s="96" t="s">
        <v>281</v>
      </c>
      <c r="BE61" s="97" t="s">
        <v>389</v>
      </c>
      <c r="BF61" s="97" t="s">
        <v>390</v>
      </c>
      <c r="BG61" s="97" t="s">
        <v>44</v>
      </c>
      <c r="BH61" s="97" t="s">
        <v>283</v>
      </c>
      <c r="BI61" s="97" t="s">
        <v>45</v>
      </c>
      <c r="BJ61" s="97" t="s">
        <v>50</v>
      </c>
      <c r="BK61" s="97" t="s">
        <v>53</v>
      </c>
      <c r="BL61" s="97" t="s">
        <v>46</v>
      </c>
      <c r="BM61" s="97" t="s">
        <v>54</v>
      </c>
      <c r="BN61" s="97" t="s">
        <v>47</v>
      </c>
      <c r="BO61" s="97" t="s">
        <v>48</v>
      </c>
      <c r="BP61" s="97" t="s">
        <v>49</v>
      </c>
      <c r="BQ61" s="102" t="s">
        <v>317</v>
      </c>
      <c r="BR61" s="11"/>
      <c r="BS61" s="11"/>
      <c r="BT61" s="11"/>
      <c r="BU61" s="11"/>
      <c r="BV61" s="11"/>
      <c r="BW61" s="11"/>
      <c r="BX61" s="11"/>
      <c r="BY61" s="11"/>
      <c r="BZ61" s="11"/>
    </row>
    <row r="62" spans="1:78" ht="2.25" hidden="1" customHeight="1" x14ac:dyDescent="0.25">
      <c r="A62" s="660"/>
      <c r="B62" s="663"/>
      <c r="C62" s="678"/>
      <c r="D62" s="679"/>
      <c r="E62" s="733"/>
      <c r="F62" s="727"/>
      <c r="G62" s="727"/>
      <c r="H62" s="727"/>
      <c r="I62" s="727"/>
      <c r="J62" s="738"/>
      <c r="K62" s="11"/>
      <c r="L62" s="11"/>
      <c r="M62" s="11"/>
      <c r="N62" s="83"/>
      <c r="O62" s="11"/>
      <c r="P62" s="1"/>
      <c r="Q62" s="1"/>
      <c r="R62" s="1"/>
      <c r="S62" s="1"/>
      <c r="T62" s="1"/>
      <c r="U62" s="1"/>
      <c r="V62" s="1"/>
      <c r="W62" s="1"/>
      <c r="X62" s="1"/>
      <c r="Y62" s="1"/>
      <c r="Z62" s="1"/>
      <c r="AA62" s="1"/>
      <c r="AB62" s="11"/>
      <c r="AC62" s="11"/>
      <c r="AD62" s="94"/>
      <c r="AE62" s="103"/>
      <c r="AF62" s="11"/>
      <c r="AG62" s="11"/>
      <c r="AH62" s="11"/>
      <c r="AI62" s="11"/>
      <c r="AJ62" s="11"/>
      <c r="AK62" s="11"/>
      <c r="AL62" s="11"/>
      <c r="AM62" s="11"/>
      <c r="AN62" s="11"/>
      <c r="AO62" s="11"/>
      <c r="AP62" s="11"/>
      <c r="AQ62" s="11"/>
      <c r="AR62" s="11"/>
      <c r="AS62" s="11"/>
      <c r="AT62" s="11"/>
      <c r="AU62" s="11"/>
      <c r="AV62" s="11"/>
      <c r="AW62" s="11"/>
      <c r="AX62" s="11"/>
      <c r="AY62" s="11"/>
      <c r="AZ62" s="11"/>
      <c r="BA62" s="98" t="e">
        <f>HLOOKUP("Y",BC62:BQ62,1,FALSE)</f>
        <v>#N/A</v>
      </c>
      <c r="BB62" s="99" t="str">
        <f>Variables!T1</f>
        <v xml:space="preserve">PLUMBING WORKS REQUIRE SECTION 68 APPLICATION/PLUMBING PERMITS </v>
      </c>
      <c r="BC62" s="98" t="str">
        <f>IF(AND(AB129&gt;=0,C15=BC61,BB85=0),"Y","N")</f>
        <v>N</v>
      </c>
      <c r="BD62" s="98" t="str">
        <f>IF(AND(AB129&gt;=0,C15=BD61,BC84=0,BB85=0),"Y","N")</f>
        <v>N</v>
      </c>
      <c r="BE62" s="100" t="str">
        <f>IF(AND(AB129&gt;=0,C15=BE61,BB85=0),"Y","N")</f>
        <v>N</v>
      </c>
      <c r="BF62" s="98" t="str">
        <f>IF(AND(AB129&gt;=0,C15=BF61,BC84=0,BB85=0),"Y","N")</f>
        <v>N</v>
      </c>
      <c r="BG62" s="98" t="str">
        <f>IF(AND(AB129&gt;=0,C15=BG61,BB85=0),"Y","N")</f>
        <v>N</v>
      </c>
      <c r="BH62" s="98" t="str">
        <f>IF(AND(AB129&gt;=0,C15=BH61,BB85=0),"Y","N")</f>
        <v>N</v>
      </c>
      <c r="BI62" s="101" t="str">
        <f>IF(AND(AB129&gt;=0,C15=BI61,BB85=0),"Y","N")</f>
        <v>N</v>
      </c>
      <c r="BJ62" s="100"/>
      <c r="BK62" s="98" t="str">
        <f>IF(AND(129&gt;=0,C15=BK61,BB85=0),"Y","N")</f>
        <v>N</v>
      </c>
      <c r="BL62" s="100"/>
      <c r="BM62" s="100"/>
      <c r="BN62" s="100"/>
      <c r="BO62" s="100"/>
      <c r="BP62" s="100"/>
      <c r="BQ62" s="102"/>
      <c r="BR62" s="11"/>
      <c r="BS62" s="11"/>
      <c r="BT62" s="11"/>
      <c r="BU62" s="11"/>
      <c r="BV62" s="11"/>
      <c r="BW62" s="11"/>
      <c r="BX62" s="11"/>
      <c r="BY62" s="11"/>
      <c r="BZ62" s="11"/>
    </row>
    <row r="63" spans="1:78" ht="3" customHeight="1" x14ac:dyDescent="0.25">
      <c r="A63" s="739"/>
      <c r="B63" s="740"/>
      <c r="C63" s="741"/>
      <c r="D63" s="742"/>
      <c r="E63" s="718"/>
      <c r="F63" s="719"/>
      <c r="G63" s="719"/>
      <c r="H63" s="719"/>
      <c r="I63" s="719"/>
      <c r="J63" s="720"/>
      <c r="K63" s="11"/>
      <c r="L63" s="11"/>
      <c r="M63" s="11"/>
      <c r="N63" s="83"/>
      <c r="O63" s="11"/>
      <c r="P63" s="1"/>
      <c r="Q63" s="1"/>
      <c r="R63" s="1"/>
      <c r="S63" s="1"/>
      <c r="T63" s="1"/>
      <c r="U63" s="1"/>
      <c r="V63" s="1"/>
      <c r="W63" s="1"/>
      <c r="X63" s="1"/>
      <c r="Y63" s="1"/>
      <c r="Z63" s="1"/>
      <c r="AA63" s="1"/>
      <c r="AB63" s="11"/>
      <c r="AC63" s="11"/>
      <c r="AD63" s="11"/>
      <c r="AE63" s="54"/>
      <c r="AF63" s="11"/>
      <c r="AG63" s="11"/>
      <c r="AH63" s="11"/>
      <c r="AI63" s="11"/>
      <c r="AJ63" s="11"/>
      <c r="AK63" s="11"/>
      <c r="AL63" s="11"/>
      <c r="AM63" s="11"/>
      <c r="AN63" s="11"/>
      <c r="AO63" s="11"/>
      <c r="AP63" s="11"/>
      <c r="AQ63" s="11"/>
      <c r="AR63" s="11"/>
      <c r="AS63" s="11"/>
      <c r="AT63" s="11"/>
      <c r="AU63" s="11"/>
      <c r="AV63" s="11"/>
      <c r="AW63" s="11"/>
      <c r="AX63" s="11"/>
      <c r="AY63" s="11"/>
      <c r="AZ63" s="11"/>
      <c r="BA63" s="98" t="e">
        <f>HLOOKUP("Y",BC63:BQ63,1,FALSE)</f>
        <v>#N/A</v>
      </c>
      <c r="BB63" s="99" t="str">
        <f>Variables!T2</f>
        <v xml:space="preserve">PLUMBING WORKS REQUIRE SECTION 68 APPLICATION/PERMITS </v>
      </c>
      <c r="BC63" s="98" t="str">
        <f>IF(AND(AB129&lt;1,C15=BC61,BB85=1),"Y","N")</f>
        <v>N</v>
      </c>
      <c r="BD63" s="98" t="str">
        <f>IF(AND(AB129&lt;1,C15=BD61,BC84=0,BB85=1),"Y","N")</f>
        <v>N</v>
      </c>
      <c r="BE63" s="100" t="str">
        <f>IF(AND(AB129&lt;1,C15=BE61,BB85=1),"Y","N")</f>
        <v>N</v>
      </c>
      <c r="BF63" s="98" t="str">
        <f>IF(AND(AB129&lt;1,C15=BF61,BC84=0,BB85=1),"Y","N")</f>
        <v>N</v>
      </c>
      <c r="BG63" s="101" t="str">
        <f>IF(AND(AB129&lt;1,C15=BG61,BB85=1),"Y","N")</f>
        <v>N</v>
      </c>
      <c r="BH63" s="98" t="str">
        <f>IF(AND(AB129&lt;1,C15=BH61,BB85=1),"Y","N")</f>
        <v>N</v>
      </c>
      <c r="BI63" s="98" t="str">
        <f>IF(AND(AB129&lt;1,C15=BI61,BB85=1),"Y","N")</f>
        <v>N</v>
      </c>
      <c r="BJ63" s="100"/>
      <c r="BK63" s="98" t="str">
        <f>IF(AND(AB129&lt;1,C15=BK61,BB85=1,C13&lt;250000),"Y","N")</f>
        <v>N</v>
      </c>
      <c r="BL63" s="100"/>
      <c r="BM63" s="100"/>
      <c r="BN63" s="100"/>
      <c r="BO63" s="100"/>
      <c r="BP63" s="100"/>
      <c r="BQ63" s="102"/>
      <c r="BR63" s="11"/>
      <c r="BS63" s="11"/>
      <c r="BT63" s="11"/>
      <c r="BU63" s="11"/>
      <c r="BV63" s="11"/>
      <c r="BW63" s="11"/>
      <c r="BX63" s="11"/>
      <c r="BY63" s="11"/>
      <c r="BZ63" s="11"/>
    </row>
    <row r="64" spans="1:78" ht="42" customHeight="1" x14ac:dyDescent="0.25">
      <c r="A64" s="988" t="s">
        <v>1691</v>
      </c>
      <c r="B64" s="988"/>
      <c r="C64" s="988"/>
      <c r="D64" s="988"/>
      <c r="E64" s="988"/>
      <c r="F64" s="988"/>
      <c r="G64" s="988"/>
      <c r="H64" s="988"/>
      <c r="I64" s="988"/>
      <c r="J64" s="29"/>
      <c r="K64" s="11"/>
      <c r="L64" s="11"/>
      <c r="M64" s="11"/>
      <c r="N64" s="83"/>
      <c r="O64" s="11"/>
      <c r="P64" s="49"/>
      <c r="Q64" s="49"/>
      <c r="R64" s="49"/>
      <c r="S64" s="49"/>
      <c r="T64" s="49"/>
      <c r="U64" s="49"/>
      <c r="V64" s="49"/>
      <c r="W64" s="49"/>
      <c r="X64" s="49"/>
      <c r="Y64" s="1"/>
      <c r="Z64" s="1"/>
      <c r="AA64" s="1"/>
      <c r="AB64" s="11"/>
      <c r="AC64" s="11"/>
      <c r="AD64" s="11"/>
      <c r="AE64" s="54"/>
      <c r="AF64" s="11"/>
      <c r="AG64" s="11"/>
      <c r="AH64" s="11"/>
      <c r="AI64" s="11"/>
      <c r="AJ64" s="11"/>
      <c r="AK64" s="11"/>
      <c r="AL64" s="11"/>
      <c r="AM64" s="11"/>
      <c r="AN64" s="11"/>
      <c r="AO64" s="11"/>
      <c r="AP64" s="11"/>
      <c r="AQ64" s="11"/>
      <c r="AR64" s="11"/>
      <c r="AS64" s="11"/>
      <c r="AT64" s="11"/>
      <c r="AU64" s="11"/>
      <c r="AV64" s="11"/>
      <c r="AW64" s="11"/>
      <c r="AX64" s="11"/>
      <c r="AY64" s="11"/>
      <c r="AZ64" s="11"/>
      <c r="BA64" s="98" t="e">
        <f>HLOOKUP("Y",BC64:BQ64,1,FALSE)</f>
        <v>#N/A</v>
      </c>
      <c r="BB64" s="99" t="str">
        <f>Variables!T3</f>
        <v>SELECT PLUMBING INSPECTIONS REQUIRED BELOW - NOTE: N/A = SELECTION NOT APPLICABLE</v>
      </c>
      <c r="BC64" s="101" t="str">
        <f>IF(AND(AB129&gt;=1,BB61=C15,BB85=0),"Y","N")</f>
        <v>N</v>
      </c>
      <c r="BD64" s="98" t="str">
        <f>IF(AND(AB129&gt;=1,C15=BD61,BC84=0,BB85=0),"Y","N")</f>
        <v>N</v>
      </c>
      <c r="BE64" s="100" t="str">
        <f>IF(AND(AB129&gt;=1,C15=BE61,BB85=0),"Y","N")</f>
        <v>N</v>
      </c>
      <c r="BF64" s="98" t="str">
        <f>IF(AND(AB129&gt;=1,C15=BF61,BC84=0,BB85=0),"Y","N")</f>
        <v>N</v>
      </c>
      <c r="BG64" s="98" t="str">
        <f>IF(AND(AB129&gt;=1,C15=BG61,BB85=0),"Y","N")</f>
        <v>N</v>
      </c>
      <c r="BH64" s="98" t="str">
        <f>IF(AND(AB129&gt;=1,C15=BH61,BB85=0),"Y","N")</f>
        <v>N</v>
      </c>
      <c r="BI64" s="98" t="str">
        <f>IF(AND(AB129&gt;=1,C15=BI61,BB85=0),"Y","N")</f>
        <v>N</v>
      </c>
      <c r="BJ64" s="100"/>
      <c r="BK64" s="98" t="str">
        <f>IF(AND(AB129&gt;=1,C15=BK61,BB85=0),"Y","N")</f>
        <v>N</v>
      </c>
      <c r="BL64" s="100"/>
      <c r="BM64" s="100"/>
      <c r="BN64" s="100"/>
      <c r="BO64" s="100"/>
      <c r="BP64" s="100"/>
      <c r="BQ64" s="102"/>
      <c r="BR64" s="11"/>
      <c r="BS64" s="11"/>
      <c r="BT64" s="11"/>
      <c r="BU64" s="11"/>
      <c r="BV64" s="11"/>
      <c r="BW64" s="11"/>
      <c r="BX64" s="11"/>
      <c r="BY64" s="11"/>
      <c r="BZ64" s="11"/>
    </row>
    <row r="65" spans="1:78" ht="18" customHeight="1" x14ac:dyDescent="0.25">
      <c r="A65" s="987" t="s">
        <v>1669</v>
      </c>
      <c r="B65" s="987"/>
      <c r="C65" s="987"/>
      <c r="D65" s="987"/>
      <c r="E65" s="987"/>
      <c r="F65" s="987"/>
      <c r="G65" s="987"/>
      <c r="H65" s="987"/>
      <c r="I65" s="987"/>
      <c r="J65" s="29"/>
      <c r="K65" s="11"/>
      <c r="L65" s="52"/>
      <c r="M65" s="11"/>
      <c r="N65" s="83"/>
      <c r="O65" s="11"/>
      <c r="P65" s="1"/>
      <c r="Q65" s="1"/>
      <c r="R65" s="1"/>
      <c r="S65" s="1"/>
      <c r="T65" s="1"/>
      <c r="U65" s="1"/>
      <c r="V65" s="1"/>
      <c r="W65" s="1"/>
      <c r="X65" s="1"/>
      <c r="Y65" s="1"/>
      <c r="Z65" s="1"/>
      <c r="AA65" s="1"/>
      <c r="AB65" s="11"/>
      <c r="AC65" s="11"/>
      <c r="AD65" s="11"/>
      <c r="AE65" s="54"/>
      <c r="AF65" s="11"/>
      <c r="AG65" s="11"/>
      <c r="AH65" s="11"/>
      <c r="AI65" s="11"/>
      <c r="AJ65" s="11"/>
      <c r="AK65" s="11"/>
      <c r="AL65" s="11"/>
      <c r="AM65" s="11"/>
      <c r="AN65" s="11"/>
      <c r="AO65" s="11"/>
      <c r="AP65" s="11"/>
      <c r="AQ65" s="11"/>
      <c r="AR65" s="11"/>
      <c r="AS65" s="11"/>
      <c r="AT65" s="11"/>
      <c r="AU65" s="11"/>
      <c r="AV65" s="11"/>
      <c r="AW65" s="11"/>
      <c r="AX65" s="11"/>
      <c r="AY65" s="11"/>
      <c r="AZ65" s="11"/>
      <c r="BA65" s="98" t="e">
        <f>HLOOKUP("Y",BC65:BJ66,1,FALSE)</f>
        <v>#N/A</v>
      </c>
      <c r="BB65" s="99" t="str">
        <f>Variables!T4</f>
        <v xml:space="preserve">PLUMBING WORKS REQUIRE SECTION 68 APPLICATION/PLUMBING PERMITS </v>
      </c>
      <c r="BC65" s="98" t="str">
        <f>IF(AND(BC61=C15,AB129&gt;=1,BB85=1),"Y","N")</f>
        <v>N</v>
      </c>
      <c r="BD65" s="98" t="str">
        <f>IF(AND(C15=BD61,AB129&gt;=1,BC84=0,BB85=1),"Y","N")</f>
        <v>N</v>
      </c>
      <c r="BE65" s="100" t="str">
        <f>IF(AND(C15=BE61,AB129&gt;=1,BB85=1),"Y","N")</f>
        <v>N</v>
      </c>
      <c r="BF65" s="98" t="str">
        <f>IF(AND(C15=BF61,AB129&gt;=1,BC84=0,BB85=1),"Y","N")</f>
        <v>N</v>
      </c>
      <c r="BG65" s="98" t="str">
        <f>IF(AND(C15=BG61,AB129&gt;=1,BB85=1),"Y","N")</f>
        <v>N</v>
      </c>
      <c r="BH65" s="98" t="str">
        <f>IF(AND(BH61=C15,AB129&gt;=1,BB85=1),"Y","N")</f>
        <v>N</v>
      </c>
      <c r="BI65" s="98" t="str">
        <f>IF(AND(C15=BI61,AB129&gt;=1,BB85=1),"Y","N")</f>
        <v>N</v>
      </c>
      <c r="BJ65" s="100"/>
      <c r="BK65" s="98" t="str">
        <f>IF(AND(AB129&gt;=1,C15=BK61,BC84=1,BB85=1),"Y","N")</f>
        <v>N</v>
      </c>
      <c r="BL65" s="100"/>
      <c r="BM65" s="100"/>
      <c r="BN65" s="100"/>
      <c r="BO65" s="100"/>
      <c r="BP65" s="100"/>
      <c r="BQ65" s="102"/>
      <c r="BR65" s="11"/>
      <c r="BS65" s="11"/>
      <c r="BT65" s="11"/>
      <c r="BU65" s="11"/>
      <c r="BV65" s="11"/>
      <c r="BW65" s="11"/>
      <c r="BX65" s="11"/>
      <c r="BY65" s="11"/>
      <c r="BZ65" s="11"/>
    </row>
    <row r="66" spans="1:78" ht="4.5" customHeight="1" x14ac:dyDescent="0.25">
      <c r="A66" s="660"/>
      <c r="B66" s="663"/>
      <c r="C66" s="678"/>
      <c r="D66" s="679"/>
      <c r="E66" s="717"/>
      <c r="F66" s="712"/>
      <c r="G66" s="712"/>
      <c r="H66" s="712"/>
      <c r="I66" s="712"/>
      <c r="J66" s="26"/>
      <c r="K66" s="11"/>
      <c r="L66" s="52"/>
      <c r="M66" s="11"/>
      <c r="N66" s="83"/>
      <c r="O66" s="11"/>
      <c r="P66" s="845" t="s">
        <v>1622</v>
      </c>
      <c r="Q66" s="846"/>
      <c r="R66" s="846"/>
      <c r="S66" s="846"/>
      <c r="T66" s="846"/>
      <c r="U66" s="846"/>
      <c r="V66" s="846"/>
      <c r="W66" s="846"/>
      <c r="X66" s="846"/>
      <c r="Y66" s="846"/>
      <c r="Z66" s="1"/>
      <c r="AA66" s="1"/>
      <c r="AB66" s="11"/>
      <c r="AC66" s="11"/>
      <c r="AD66" s="11"/>
      <c r="AE66" s="54"/>
      <c r="AF66" s="11"/>
      <c r="AG66" s="11"/>
      <c r="AH66" s="11"/>
      <c r="AI66" s="11"/>
      <c r="AJ66" s="11"/>
      <c r="AK66" s="11"/>
      <c r="AL66" s="11"/>
      <c r="AM66" s="11"/>
      <c r="AN66" s="11"/>
      <c r="AO66" s="11"/>
      <c r="AP66" s="11"/>
      <c r="AQ66" s="11"/>
      <c r="AR66" s="11"/>
      <c r="AS66" s="11"/>
      <c r="AT66" s="11"/>
      <c r="AU66" s="11"/>
      <c r="AV66" s="11"/>
      <c r="AW66" s="11"/>
      <c r="AX66" s="11"/>
      <c r="AY66" s="11"/>
      <c r="AZ66" s="11"/>
      <c r="BA66" s="706" t="e">
        <f t="shared" ref="BA66:BA73" si="2">HLOOKUP("Y",BC66:BQ66,1,FALSE)</f>
        <v>#N/A</v>
      </c>
      <c r="BB66" s="707" t="str">
        <f>Variables!T5</f>
        <v xml:space="preserve">A SECTION 68 APPLICATION/PLUMBING PERMIT FOR SEWER IS REQUIRED FOR SAND FILTRATION SYSTEMS OR TO INSTALL A NEW YARD GULLY </v>
      </c>
      <c r="BC66" s="100"/>
      <c r="BD66" s="100"/>
      <c r="BE66" s="100"/>
      <c r="BF66" s="100"/>
      <c r="BG66" s="100"/>
      <c r="BH66" s="100"/>
      <c r="BI66" s="100"/>
      <c r="BJ66" s="98" t="str">
        <f>IF(C15=BJ61,"Y","N")</f>
        <v>N</v>
      </c>
      <c r="BK66" s="100"/>
      <c r="BL66" s="100"/>
      <c r="BM66" s="100"/>
      <c r="BN66" s="100"/>
      <c r="BO66" s="100"/>
      <c r="BP66" s="100"/>
      <c r="BQ66" s="102"/>
      <c r="BR66" s="11"/>
      <c r="BS66" s="11"/>
      <c r="BT66" s="11"/>
      <c r="BU66" s="11"/>
      <c r="BV66" s="11"/>
      <c r="BW66" s="11"/>
      <c r="BX66" s="11"/>
      <c r="BY66" s="11"/>
      <c r="BZ66" s="11"/>
    </row>
    <row r="67" spans="1:78" s="746" customFormat="1" ht="18" customHeight="1" x14ac:dyDescent="0.2">
      <c r="A67" s="721"/>
      <c r="B67" s="63" t="s">
        <v>8</v>
      </c>
      <c r="C67" s="921" t="str">
        <f>IF(AND(C13&lt;&gt;"",C15&lt;&gt;Variables!E2,C15&lt;&gt;Variables!E3,C15&lt;&gt;Variables!E4,C15&lt;&gt;Variables!E5,C15&lt;&gt;Variables!E6,C15&lt;&gt;Variables!E7,C15&lt;&gt;Variables!E18,C15&lt;&gt;Variables!E14,C13&gt;=0,C15&lt;&gt;""),Q137,"")</f>
        <v/>
      </c>
      <c r="D67" s="922"/>
      <c r="E67" s="911"/>
      <c r="F67" s="912"/>
      <c r="G67" s="912"/>
      <c r="H67" s="912"/>
      <c r="I67" s="912"/>
      <c r="J67" s="753"/>
      <c r="K67" s="754"/>
      <c r="L67" s="755"/>
      <c r="M67" s="754"/>
      <c r="N67" s="756"/>
      <c r="O67" s="754"/>
      <c r="P67" s="757" t="s">
        <v>1620</v>
      </c>
      <c r="Q67" s="758"/>
      <c r="R67" s="758"/>
      <c r="S67" s="758"/>
      <c r="T67" s="758"/>
      <c r="U67" s="758"/>
      <c r="V67" s="758"/>
      <c r="W67" s="758"/>
      <c r="X67" s="758"/>
      <c r="Y67" s="759"/>
      <c r="Z67" s="760"/>
      <c r="AA67" s="760"/>
      <c r="AB67" s="754"/>
      <c r="AC67" s="754"/>
      <c r="AD67" s="754"/>
      <c r="AE67" s="772"/>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61" t="e">
        <f t="shared" si="2"/>
        <v>#N/A</v>
      </c>
      <c r="BB67" s="762" t="str">
        <f>Variables!T6</f>
        <v>INSPECTION SELECTION NOT REQUIRED FOR COMMERCIAL WORK &gt;$250,000- BASE FEE APPLIES (SEE BELOW IN SUMMARY OF FEES)</v>
      </c>
      <c r="BC67" s="763"/>
      <c r="BD67" s="761" t="str">
        <f>IF(AND(C15=BD61,BC84=1,C13&gt;=250000),"Y","N")</f>
        <v>N</v>
      </c>
      <c r="BE67" s="763"/>
      <c r="BF67" s="761" t="str">
        <f>IF(AND(C15=BF61,BC84=1,C13&gt;=250000),"Y","N")</f>
        <v>N</v>
      </c>
      <c r="BG67" s="763"/>
      <c r="BH67" s="763"/>
      <c r="BI67" s="763"/>
      <c r="BJ67" s="763"/>
      <c r="BK67" s="761" t="str">
        <f>IF(AND(C15=BK61,BB85=1,BC84=0,C13&gt;=250000),"Y","N")</f>
        <v>N</v>
      </c>
      <c r="BL67" s="763"/>
      <c r="BM67" s="763"/>
      <c r="BN67" s="763"/>
      <c r="BO67" s="763"/>
      <c r="BP67" s="763"/>
      <c r="BQ67" s="764"/>
      <c r="BR67" s="754"/>
      <c r="BS67" s="754"/>
      <c r="BT67" s="754"/>
      <c r="BU67" s="754"/>
      <c r="BV67" s="754"/>
      <c r="BW67" s="754"/>
      <c r="BX67" s="754"/>
      <c r="BY67" s="754"/>
      <c r="BZ67" s="754"/>
    </row>
    <row r="68" spans="1:78" s="746" customFormat="1" ht="17.25" customHeight="1" x14ac:dyDescent="0.2">
      <c r="A68" s="29"/>
      <c r="B68" s="63" t="s">
        <v>24</v>
      </c>
      <c r="C68" s="919" t="str">
        <f>IF(AND(C13&gt;50000, C67&lt;&gt;""),ROUNDDOWN(Variables!B110*C13/1000,0),"")</f>
        <v/>
      </c>
      <c r="D68" s="923"/>
      <c r="E68" s="911"/>
      <c r="F68" s="912" t="str">
        <f>IF(C68&lt;&gt;"","64c per $1000 (DA's &gt;$50000) Paid on Lodgement","")</f>
        <v/>
      </c>
      <c r="G68" s="912"/>
      <c r="H68" s="912"/>
      <c r="I68" s="912"/>
      <c r="J68" s="753"/>
      <c r="K68" s="754"/>
      <c r="L68" s="755"/>
      <c r="M68" s="754"/>
      <c r="N68" s="756"/>
      <c r="O68" s="754"/>
      <c r="P68" s="758"/>
      <c r="Q68" s="758"/>
      <c r="R68" s="758"/>
      <c r="S68" s="758"/>
      <c r="T68" s="758"/>
      <c r="U68" s="758"/>
      <c r="V68" s="758"/>
      <c r="W68" s="758"/>
      <c r="X68" s="758"/>
      <c r="Y68" s="758"/>
      <c r="Z68" s="760"/>
      <c r="AA68" s="760"/>
      <c r="AB68" s="754"/>
      <c r="AC68" s="754"/>
      <c r="AD68" s="754"/>
      <c r="AE68" s="772"/>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65" t="e">
        <f t="shared" si="2"/>
        <v>#N/A</v>
      </c>
      <c r="BB68" s="766" t="str">
        <f>Variables!T7</f>
        <v>FINAL/OCCUPATION INSPECTION FEE OF $87 APPLIED</v>
      </c>
      <c r="BC68" s="763"/>
      <c r="BD68" s="763"/>
      <c r="BE68" s="763"/>
      <c r="BF68" s="763"/>
      <c r="BG68" s="763"/>
      <c r="BH68" s="763"/>
      <c r="BI68" s="763"/>
      <c r="BJ68" s="763"/>
      <c r="BK68" s="763"/>
      <c r="BL68" s="761" t="str">
        <f>IF(OR(C15=BL61,C15=Variables!E5),"Y","N")</f>
        <v>N</v>
      </c>
      <c r="BM68" s="763"/>
      <c r="BN68" s="763"/>
      <c r="BO68" s="763"/>
      <c r="BP68" s="763"/>
      <c r="BQ68" s="764"/>
      <c r="BR68" s="754"/>
      <c r="BS68" s="754"/>
      <c r="BT68" s="754"/>
      <c r="BU68" s="754"/>
      <c r="BV68" s="754"/>
      <c r="BW68" s="754"/>
      <c r="BX68" s="754"/>
      <c r="BY68" s="754"/>
      <c r="BZ68" s="754"/>
    </row>
    <row r="69" spans="1:78" s="746" customFormat="1" ht="16.5" customHeight="1" x14ac:dyDescent="0.2">
      <c r="A69" s="30"/>
      <c r="B69" s="63" t="s">
        <v>1678</v>
      </c>
      <c r="C69" s="919" t="str">
        <f>IF(OR(C67&lt;&gt;"",C74&lt;&gt;"",I60="Yes"),Variables!B104,"")</f>
        <v/>
      </c>
      <c r="D69" s="920"/>
      <c r="E69" s="911"/>
      <c r="F69" s="912" t="str">
        <f>IF(C69&lt;&gt;"","Applicable to  DA's Only","")</f>
        <v/>
      </c>
      <c r="G69" s="912"/>
      <c r="H69" s="912"/>
      <c r="I69" s="912"/>
      <c r="J69" s="753"/>
      <c r="K69" s="754"/>
      <c r="L69" s="767" t="s">
        <v>282</v>
      </c>
      <c r="M69" s="754"/>
      <c r="N69" s="756"/>
      <c r="O69" s="754"/>
      <c r="P69" s="834" t="s">
        <v>0</v>
      </c>
      <c r="Q69" s="835">
        <f>C13</f>
        <v>0</v>
      </c>
      <c r="R69" s="834"/>
      <c r="S69" s="836" t="s">
        <v>1</v>
      </c>
      <c r="T69" s="836" t="s">
        <v>2</v>
      </c>
      <c r="U69" s="836" t="s">
        <v>3</v>
      </c>
      <c r="V69" s="836" t="s">
        <v>4</v>
      </c>
      <c r="W69" s="836" t="s">
        <v>5</v>
      </c>
      <c r="X69" s="836" t="s">
        <v>6</v>
      </c>
      <c r="Y69" s="836" t="s">
        <v>7</v>
      </c>
      <c r="Z69" s="760"/>
      <c r="AA69" s="760"/>
      <c r="AB69" s="754"/>
      <c r="AC69" s="754"/>
      <c r="AD69" s="754"/>
      <c r="AE69" s="772"/>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65" t="e">
        <f t="shared" si="2"/>
        <v>#N/A</v>
      </c>
      <c r="BB69" s="766" t="str">
        <f>Variables!T8</f>
        <v>SECTION 68 APPLICATION/PLUMBING PERMITS NOT REQUIRED</v>
      </c>
      <c r="BC69" s="763"/>
      <c r="BD69" s="763"/>
      <c r="BE69" s="763"/>
      <c r="BF69" s="763"/>
      <c r="BG69" s="763"/>
      <c r="BH69" s="763"/>
      <c r="BI69" s="763"/>
      <c r="BJ69" s="763"/>
      <c r="BK69" s="763"/>
      <c r="BL69" s="763"/>
      <c r="BM69" s="761" t="str">
        <f>IF(C15=BM61,"Y","N")</f>
        <v>N</v>
      </c>
      <c r="BN69" s="763"/>
      <c r="BO69" s="763"/>
      <c r="BP69" s="763"/>
      <c r="BQ69" s="764"/>
      <c r="BR69" s="754"/>
      <c r="BS69" s="754"/>
      <c r="BT69" s="754"/>
      <c r="BU69" s="754"/>
      <c r="BV69" s="754"/>
      <c r="BW69" s="754"/>
      <c r="BX69" s="754"/>
      <c r="BY69" s="754"/>
      <c r="BZ69" s="754"/>
    </row>
    <row r="70" spans="1:78" s="746" customFormat="1" ht="17.25" customHeight="1" x14ac:dyDescent="0.2">
      <c r="A70" s="30"/>
      <c r="B70" s="63" t="s">
        <v>1683</v>
      </c>
      <c r="C70" s="919" t="str">
        <f>IF(OR(C67&lt;&gt;"",C74&lt;&gt;""),L85,"")</f>
        <v/>
      </c>
      <c r="D70" s="920"/>
      <c r="E70" s="911"/>
      <c r="F70" s="912" t="str">
        <f>IF(AE136&gt;0,"Scanning Fees apply where electronic copy of documents are not supplied","")</f>
        <v/>
      </c>
      <c r="G70" s="912"/>
      <c r="H70" s="912"/>
      <c r="I70" s="912"/>
      <c r="J70" s="753"/>
      <c r="K70" s="754"/>
      <c r="L70" s="767" t="s">
        <v>282</v>
      </c>
      <c r="M70" s="754"/>
      <c r="N70" s="756"/>
      <c r="O70" s="754"/>
      <c r="P70" s="834"/>
      <c r="Q70" s="834"/>
      <c r="R70" s="834"/>
      <c r="S70" s="837">
        <v>-1</v>
      </c>
      <c r="T70" s="837">
        <v>999999999</v>
      </c>
      <c r="U70" s="837" t="str">
        <f>IF(C13&lt;=S70,"NO",IF(C13&gt;T70,"NO","YES"))</f>
        <v>YES</v>
      </c>
      <c r="V70" s="837">
        <v>0</v>
      </c>
      <c r="W70" s="838">
        <f>IF(U70="NO",0,(C13/1000))</f>
        <v>0</v>
      </c>
      <c r="X70" s="839">
        <v>530</v>
      </c>
      <c r="Y70" s="840">
        <v>3.1</v>
      </c>
      <c r="Z70" s="760"/>
      <c r="AA70" s="760"/>
      <c r="AB70" s="754"/>
      <c r="AC70" s="754"/>
      <c r="AD70" s="754"/>
      <c r="AE70" s="772"/>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65" t="e">
        <f t="shared" si="2"/>
        <v>#N/A</v>
      </c>
      <c r="BB70" s="766" t="str">
        <f>Variables!T9</f>
        <v>IF SEWER CONNECTION REQUIRES CAPPING A SECTION 68 APPLICATION/PLUMBING PERMIT (SEWER) IS REQUIRED</v>
      </c>
      <c r="BC70" s="763"/>
      <c r="BD70" s="763"/>
      <c r="BE70" s="763"/>
      <c r="BF70" s="763"/>
      <c r="BG70" s="763"/>
      <c r="BH70" s="763"/>
      <c r="BI70" s="763"/>
      <c r="BJ70" s="763"/>
      <c r="BK70" s="763"/>
      <c r="BL70" s="763"/>
      <c r="BM70" s="763"/>
      <c r="BN70" s="761" t="str">
        <f>IF(OR(C15=BN61,C15=Variables!E4),"Y","N")</f>
        <v>N</v>
      </c>
      <c r="BO70" s="763"/>
      <c r="BP70" s="763"/>
      <c r="BQ70" s="764"/>
      <c r="BR70" s="754"/>
      <c r="BS70" s="754"/>
      <c r="BT70" s="754"/>
      <c r="BU70" s="754"/>
      <c r="BV70" s="754"/>
      <c r="BW70" s="754"/>
      <c r="BX70" s="754"/>
      <c r="BY70" s="754"/>
      <c r="BZ70" s="754"/>
    </row>
    <row r="71" spans="1:78" s="746" customFormat="1" ht="17.25" customHeight="1" x14ac:dyDescent="0.2">
      <c r="A71" s="30"/>
      <c r="B71" s="63" t="s">
        <v>1679</v>
      </c>
      <c r="C71" s="919" t="str">
        <f>IF(C58="Yes",Variables!B117,"")</f>
        <v/>
      </c>
      <c r="D71" s="920"/>
      <c r="E71" s="911"/>
      <c r="F71" s="912" t="str">
        <f>IF(C58="Yes","Required for New Dwellings on Rural Residential Lots (No Street Numbering)","")</f>
        <v/>
      </c>
      <c r="G71" s="912"/>
      <c r="H71" s="912"/>
      <c r="I71" s="912"/>
      <c r="J71" s="753"/>
      <c r="K71" s="754"/>
      <c r="L71" s="767"/>
      <c r="M71" s="754"/>
      <c r="N71" s="756"/>
      <c r="O71" s="754"/>
      <c r="P71" s="843" t="s">
        <v>1621</v>
      </c>
      <c r="Q71" s="844">
        <f>VLOOKUP("YES",U$70:X$80,4,FALSE)+(VLOOKUP("YES",U$70:Y$80,5,FALSE)*VLOOKUP("YES",U$70:W$80,3,FALSE))</f>
        <v>530</v>
      </c>
      <c r="R71" s="829"/>
      <c r="S71" s="830"/>
      <c r="T71" s="830"/>
      <c r="U71" s="830" t="s">
        <v>19</v>
      </c>
      <c r="V71" s="830" t="s">
        <v>20</v>
      </c>
      <c r="W71" s="831"/>
      <c r="X71" s="832"/>
      <c r="Y71" s="833"/>
      <c r="Z71" s="760"/>
      <c r="AA71" s="760"/>
      <c r="AB71" s="754"/>
      <c r="AC71" s="754"/>
      <c r="AD71" s="754"/>
      <c r="AE71" s="772"/>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65" t="e">
        <f t="shared" si="2"/>
        <v>#N/A</v>
      </c>
      <c r="BB71" s="766" t="str">
        <f>Variables!T10</f>
        <v>SELECT FOOTING INSPECTION IF ADVERTISING SIGN IS FREESTANDING AND REQUIRES CONCRETE FOOTING</v>
      </c>
      <c r="BC71" s="763"/>
      <c r="BD71" s="763"/>
      <c r="BE71" s="763"/>
      <c r="BF71" s="763"/>
      <c r="BG71" s="763"/>
      <c r="BH71" s="763"/>
      <c r="BI71" s="763"/>
      <c r="BJ71" s="763"/>
      <c r="BK71" s="763"/>
      <c r="BL71" s="763"/>
      <c r="BM71" s="763"/>
      <c r="BN71" s="763"/>
      <c r="BO71" s="761" t="str">
        <f>IF(C15=BO61,"Y","N")</f>
        <v>N</v>
      </c>
      <c r="BP71" s="763"/>
      <c r="BQ71" s="764"/>
      <c r="BR71" s="754"/>
      <c r="BS71" s="754"/>
      <c r="BT71" s="754"/>
      <c r="BU71" s="754"/>
      <c r="BV71" s="754"/>
      <c r="BW71" s="754"/>
      <c r="BX71" s="754"/>
      <c r="BY71" s="754"/>
      <c r="BZ71" s="754"/>
    </row>
    <row r="72" spans="1:78" s="746" customFormat="1" ht="17.25" customHeight="1" x14ac:dyDescent="0.2">
      <c r="A72" s="29"/>
      <c r="B72" s="63" t="s">
        <v>1680</v>
      </c>
      <c r="C72" s="919" t="str">
        <f>IF(AND(C13&lt;&gt;"",L77&gt;=1,C15&lt;&gt;Variables!E14),P103,"")</f>
        <v/>
      </c>
      <c r="D72" s="920"/>
      <c r="E72" s="911"/>
      <c r="F72" s="912"/>
      <c r="G72" s="912"/>
      <c r="H72" s="912"/>
      <c r="I72" s="912"/>
      <c r="J72" s="768"/>
      <c r="K72" s="754"/>
      <c r="L72" s="755"/>
      <c r="M72" s="754"/>
      <c r="N72" s="756"/>
      <c r="O72" s="754"/>
      <c r="P72" s="841"/>
      <c r="Q72" s="842">
        <f>ROUND(Q71,2)</f>
        <v>530</v>
      </c>
      <c r="R72" s="826"/>
      <c r="S72" s="828" t="s">
        <v>382</v>
      </c>
      <c r="T72" s="826" t="str">
        <f>IF(C13&lt;=5000,"Y","N")</f>
        <v>Y</v>
      </c>
      <c r="U72" s="826">
        <f>Variables!B162</f>
        <v>268</v>
      </c>
      <c r="V72" s="826">
        <f>Variables!B170</f>
        <v>557</v>
      </c>
      <c r="W72" s="826"/>
      <c r="X72" s="826"/>
      <c r="Y72" s="826"/>
      <c r="Z72" s="760"/>
      <c r="AA72" s="760"/>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65" t="e">
        <f t="shared" si="2"/>
        <v>#N/A</v>
      </c>
      <c r="BB72" s="766" t="str">
        <f>Variables!T11</f>
        <v>INSPECTIONS NOT REQUIRED FOR TEMPORARY STRUCTURES</v>
      </c>
      <c r="BC72" s="763"/>
      <c r="BD72" s="763"/>
      <c r="BE72" s="763"/>
      <c r="BF72" s="763"/>
      <c r="BG72" s="763"/>
      <c r="BH72" s="763"/>
      <c r="BI72" s="763"/>
      <c r="BJ72" s="763"/>
      <c r="BK72" s="763"/>
      <c r="BL72" s="763"/>
      <c r="BM72" s="763"/>
      <c r="BN72" s="763"/>
      <c r="BO72" s="763"/>
      <c r="BP72" s="761" t="str">
        <f>IF(C15=BP61,"Y","N")</f>
        <v>N</v>
      </c>
      <c r="BQ72" s="764"/>
      <c r="BR72" s="754"/>
      <c r="BS72" s="754"/>
      <c r="BT72" s="754"/>
      <c r="BU72" s="754"/>
      <c r="BV72" s="754"/>
      <c r="BW72" s="754"/>
      <c r="BX72" s="754"/>
      <c r="BY72" s="754"/>
      <c r="BZ72" s="754"/>
    </row>
    <row r="73" spans="1:78" s="746" customFormat="1" ht="35.25" customHeight="1" x14ac:dyDescent="0.2">
      <c r="A73" s="29"/>
      <c r="B73" s="63" t="s">
        <v>1681</v>
      </c>
      <c r="C73" s="919" t="str">
        <f>IF(OR(C15=Variables!E2,C15=Variables!E3,C15=Variables!E4,C15=Variables!E5),Q79,"")</f>
        <v/>
      </c>
      <c r="D73" s="920"/>
      <c r="E73" s="981" t="str">
        <f>IF(C73&lt;&gt;"",Variables!Q1,"")</f>
        <v/>
      </c>
      <c r="F73" s="982"/>
      <c r="G73" s="982"/>
      <c r="H73" s="982"/>
      <c r="I73" s="982"/>
      <c r="J73" s="768"/>
      <c r="K73" s="754"/>
      <c r="L73" s="864" t="s">
        <v>1648</v>
      </c>
      <c r="M73" s="754"/>
      <c r="N73" s="756"/>
      <c r="O73" s="754"/>
      <c r="P73" s="826"/>
      <c r="Q73" s="826"/>
      <c r="R73" s="826"/>
      <c r="S73" s="828" t="s">
        <v>383</v>
      </c>
      <c r="T73" s="826" t="str">
        <f>IF(AND(C13&gt;5000,C13&lt;=20000),"Y","N")</f>
        <v>N</v>
      </c>
      <c r="U73" s="826">
        <f>Variables!B163</f>
        <v>336</v>
      </c>
      <c r="V73" s="826">
        <f>Variables!B170</f>
        <v>557</v>
      </c>
      <c r="W73" s="826"/>
      <c r="X73" s="826"/>
      <c r="Y73" s="826"/>
      <c r="Z73" s="760"/>
      <c r="AA73" s="760"/>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61" t="e">
        <f t="shared" si="2"/>
        <v>#N/A</v>
      </c>
      <c r="BB73" s="762" t="str">
        <f>Variables!T12</f>
        <v>SELECT REQUIRED PCA &amp; PLUMBING INSPECTIONS REQUIRED BELOW</v>
      </c>
      <c r="BC73" s="763"/>
      <c r="BD73" s="763"/>
      <c r="BE73" s="763"/>
      <c r="BF73" s="763"/>
      <c r="BG73" s="763"/>
      <c r="BH73" s="763"/>
      <c r="BI73" s="763"/>
      <c r="BJ73" s="763"/>
      <c r="BK73" s="763"/>
      <c r="BL73" s="763"/>
      <c r="BM73" s="763"/>
      <c r="BN73" s="763"/>
      <c r="BO73" s="763"/>
      <c r="BP73" s="763"/>
      <c r="BQ73" s="764"/>
      <c r="BR73" s="754"/>
      <c r="BS73" s="754"/>
      <c r="BT73" s="754"/>
      <c r="BU73" s="754"/>
      <c r="BV73" s="754"/>
      <c r="BW73" s="754"/>
      <c r="BX73" s="754"/>
      <c r="BY73" s="754"/>
      <c r="BZ73" s="754"/>
    </row>
    <row r="74" spans="1:78" s="746" customFormat="1" ht="17.25" customHeight="1" x14ac:dyDescent="0.2">
      <c r="A74" s="29"/>
      <c r="B74" s="63" t="s">
        <v>1311</v>
      </c>
      <c r="C74" s="919" t="str">
        <f>IF(U120&gt;0,U120,"")</f>
        <v/>
      </c>
      <c r="D74" s="920"/>
      <c r="E74" s="911"/>
      <c r="F74" s="912"/>
      <c r="G74" s="912"/>
      <c r="H74" s="912"/>
      <c r="I74" s="912"/>
      <c r="J74" s="769"/>
      <c r="K74" s="754"/>
      <c r="L74" s="863">
        <f>IF(C15=Variables!E7,1,0)</f>
        <v>0</v>
      </c>
      <c r="M74" s="754"/>
      <c r="N74" s="756"/>
      <c r="O74" s="754"/>
      <c r="P74" s="826" t="str">
        <f>IF(C15=Variables!E2,"Y","N")</f>
        <v>N</v>
      </c>
      <c r="Q74" s="827">
        <f>U80</f>
        <v>268</v>
      </c>
      <c r="R74" s="826"/>
      <c r="S74" s="828" t="s">
        <v>384</v>
      </c>
      <c r="T74" s="826" t="str">
        <f>IF(AND(C13&gt;20000,C13&lt;=50000),"Y","N")</f>
        <v>N</v>
      </c>
      <c r="U74" s="826">
        <f>Variables!B164</f>
        <v>410</v>
      </c>
      <c r="V74" s="826">
        <f>Variables!B170</f>
        <v>557</v>
      </c>
      <c r="W74" s="826"/>
      <c r="X74" s="826"/>
      <c r="Y74" s="826"/>
      <c r="Z74" s="760"/>
      <c r="AA74" s="760"/>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65" t="e">
        <f>HLOOKUP("Y",BC74:BQ74,1,FALSE)</f>
        <v>#N/A</v>
      </c>
      <c r="BB74" s="766" t="str">
        <f>Variables!T13</f>
        <v>INSPECTIONS NOT REQUIRED FOR RELOCATABLE HOMES (PERMIT ONLY)</v>
      </c>
      <c r="BC74" s="763"/>
      <c r="BD74" s="763"/>
      <c r="BE74" s="763"/>
      <c r="BF74" s="763"/>
      <c r="BG74" s="763"/>
      <c r="BH74" s="763"/>
      <c r="BI74" s="763"/>
      <c r="BJ74" s="763"/>
      <c r="BK74" s="763"/>
      <c r="BL74" s="763"/>
      <c r="BM74" s="763"/>
      <c r="BN74" s="763"/>
      <c r="BO74" s="763"/>
      <c r="BP74" s="763"/>
      <c r="BQ74" s="764" t="str">
        <f>IF(C15=Variables!E18,"Y","N")</f>
        <v>N</v>
      </c>
      <c r="BR74" s="754"/>
      <c r="BS74" s="754"/>
      <c r="BT74" s="754"/>
      <c r="BU74" s="754"/>
      <c r="BV74" s="754"/>
      <c r="BW74" s="754"/>
      <c r="BX74" s="754"/>
      <c r="BY74" s="754"/>
      <c r="BZ74" s="754"/>
    </row>
    <row r="75" spans="1:78" s="746" customFormat="1" ht="17.25" customHeight="1" x14ac:dyDescent="0.2">
      <c r="A75" s="30"/>
      <c r="B75" s="63" t="s">
        <v>1682</v>
      </c>
      <c r="C75" s="919" t="str">
        <f>IF(OR(C23=Variables!H5),Variables!B118,"")</f>
        <v/>
      </c>
      <c r="D75" s="920"/>
      <c r="E75" s="911"/>
      <c r="F75" s="912"/>
      <c r="G75" s="912"/>
      <c r="H75" s="912"/>
      <c r="I75" s="912"/>
      <c r="J75" s="769"/>
      <c r="K75" s="754"/>
      <c r="L75" s="863">
        <f>IF(C15=Variables!E6,1,0)</f>
        <v>0</v>
      </c>
      <c r="M75" s="754"/>
      <c r="N75" s="756"/>
      <c r="O75" s="754"/>
      <c r="P75" s="826" t="str">
        <f>IF(C15=Variables!E3,"Y","N")</f>
        <v>N</v>
      </c>
      <c r="Q75" s="827">
        <f>V80</f>
        <v>557</v>
      </c>
      <c r="R75" s="826"/>
      <c r="S75" s="828" t="s">
        <v>385</v>
      </c>
      <c r="T75" s="826" t="str">
        <f>IF(AND(C13&gt;50000,C13&lt;=100000),"Y","N")</f>
        <v>N</v>
      </c>
      <c r="U75" s="826">
        <f>Variables!B165</f>
        <v>504</v>
      </c>
      <c r="V75" s="826">
        <f>Variables!B170</f>
        <v>557</v>
      </c>
      <c r="W75" s="826"/>
      <c r="X75" s="826"/>
      <c r="Y75" s="826"/>
      <c r="Z75" s="760"/>
      <c r="AA75" s="760"/>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61" t="str">
        <f>HLOOKUP("Y",BC75:BP75,1,FALSE)</f>
        <v>Y</v>
      </c>
      <c r="BB75" s="762" t="str">
        <f>Variables!T14</f>
        <v>SELECT REQUIRED PCA &amp; PLUMBING INSPECTIONS BELOW - NOTE: N/A = SELECTION NOT APPLICABLE</v>
      </c>
      <c r="BC75" s="761" t="str">
        <f>IF(AND(C13="",C15=""),"Y","N")</f>
        <v>Y</v>
      </c>
      <c r="BD75" s="763"/>
      <c r="BE75" s="763"/>
      <c r="BF75" s="763"/>
      <c r="BG75" s="763"/>
      <c r="BH75" s="763"/>
      <c r="BI75" s="763"/>
      <c r="BJ75" s="763"/>
      <c r="BK75" s="763"/>
      <c r="BL75" s="763"/>
      <c r="BM75" s="763"/>
      <c r="BN75" s="763"/>
      <c r="BO75" s="763"/>
      <c r="BP75" s="763"/>
      <c r="BQ75" s="764"/>
      <c r="BR75" s="754"/>
      <c r="BS75" s="754"/>
      <c r="BT75" s="754"/>
      <c r="BU75" s="754"/>
      <c r="BV75" s="754"/>
      <c r="BW75" s="754"/>
      <c r="BX75" s="754"/>
      <c r="BY75" s="754"/>
      <c r="BZ75" s="754"/>
    </row>
    <row r="76" spans="1:78" s="746" customFormat="1" ht="45.75" customHeight="1" x14ac:dyDescent="0.2">
      <c r="A76" s="30"/>
      <c r="B76" s="63" t="str">
        <f>IF(L62&lt;&gt;2,"Inspection Fees","Section 68 (Plumbing) Inspection Fees")</f>
        <v>Inspection Fees</v>
      </c>
      <c r="C76" s="919" t="str">
        <f>IF(M213&gt;0,M213,"")</f>
        <v/>
      </c>
      <c r="D76" s="920"/>
      <c r="E76" s="913" t="str">
        <f>IF(C76&lt;&gt;"",H213,"")</f>
        <v/>
      </c>
      <c r="F76" s="914"/>
      <c r="G76" s="914"/>
      <c r="H76" s="914"/>
      <c r="I76" s="914"/>
      <c r="J76" s="769"/>
      <c r="K76" s="760"/>
      <c r="L76" s="863" t="str">
        <f>IF(C31="Yes",1,"")</f>
        <v/>
      </c>
      <c r="M76" s="754"/>
      <c r="N76" s="770"/>
      <c r="O76" s="754"/>
      <c r="P76" s="826" t="str">
        <f>IF(C15=Variables!E4,"Y","N")</f>
        <v>N</v>
      </c>
      <c r="Q76" s="826">
        <f>Variables!B7</f>
        <v>298</v>
      </c>
      <c r="R76" s="826"/>
      <c r="S76" s="828" t="s">
        <v>386</v>
      </c>
      <c r="T76" s="826" t="str">
        <f>IF(AND(C13&gt;100000,C13&lt;=250000),"Y","N")</f>
        <v>N</v>
      </c>
      <c r="U76" s="826">
        <f>Variables!B166</f>
        <v>935</v>
      </c>
      <c r="V76" s="826">
        <f>Variables!B171</f>
        <v>861</v>
      </c>
      <c r="W76" s="826"/>
      <c r="X76" s="826"/>
      <c r="Y76" s="826"/>
      <c r="Z76" s="760"/>
      <c r="AA76" s="760"/>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61" t="str">
        <f>HLOOKUP("Y",BC76:BP76,1,FALSE)</f>
        <v>Y</v>
      </c>
      <c r="BB76" s="762" t="str">
        <f>Variables!T15</f>
        <v>SELECT REQUIRED PCA &amp; PLUMBING INSPECTIONS BELOW - NOTE: N/A = SELECTION NOT APPLICABLE</v>
      </c>
      <c r="BC76" s="761" t="str">
        <f>IF(C15="","Y","N")</f>
        <v>Y</v>
      </c>
      <c r="BD76" s="763"/>
      <c r="BE76" s="763"/>
      <c r="BF76" s="763"/>
      <c r="BG76" s="763"/>
      <c r="BH76" s="763"/>
      <c r="BI76" s="763"/>
      <c r="BJ76" s="763"/>
      <c r="BK76" s="763"/>
      <c r="BL76" s="763"/>
      <c r="BM76" s="763"/>
      <c r="BN76" s="763"/>
      <c r="BO76" s="763"/>
      <c r="BP76" s="763"/>
      <c r="BQ76" s="764"/>
      <c r="BR76" s="754"/>
      <c r="BS76" s="754"/>
      <c r="BT76" s="754"/>
      <c r="BU76" s="754"/>
      <c r="BV76" s="754"/>
      <c r="BW76" s="754"/>
      <c r="BX76" s="754"/>
      <c r="BY76" s="754"/>
      <c r="BZ76" s="754"/>
    </row>
    <row r="77" spans="1:78" s="746" customFormat="1" ht="17.25" customHeight="1" x14ac:dyDescent="0.2">
      <c r="A77" s="29"/>
      <c r="B77" s="63" t="s">
        <v>92</v>
      </c>
      <c r="C77" s="919" t="str">
        <f>IF(B107=1,Variables!B141,IF(B107=2,Variables!B140,""))</f>
        <v/>
      </c>
      <c r="D77" s="920"/>
      <c r="E77" s="911"/>
      <c r="F77" s="912" t="str">
        <f>IF(OR(C15=Variables!E14,C15=Variables!E13),"Fee Applicable to Class 2-9 Buildings (Commercial &amp; Change of Use)","")</f>
        <v/>
      </c>
      <c r="G77" s="912"/>
      <c r="H77" s="912"/>
      <c r="I77" s="912"/>
      <c r="J77" s="769"/>
      <c r="K77" s="760"/>
      <c r="L77" s="863">
        <f>SUM(L74:L76)</f>
        <v>0</v>
      </c>
      <c r="M77" s="760"/>
      <c r="N77" s="770"/>
      <c r="O77" s="754"/>
      <c r="P77" s="826" t="str">
        <f>IF(C15=Variables!E5,"Y","N")</f>
        <v>N</v>
      </c>
      <c r="Q77" s="826">
        <f>Variables!B8</f>
        <v>298</v>
      </c>
      <c r="R77" s="826"/>
      <c r="S77" s="828" t="s">
        <v>387</v>
      </c>
      <c r="T77" s="826" t="str">
        <f>IF(AND(C13&gt;250000,C13&lt;=500000),"Y","N")</f>
        <v>N</v>
      </c>
      <c r="U77" s="826">
        <f>Variables!B167</f>
        <v>1208</v>
      </c>
      <c r="V77" s="827">
        <f>Variables!B172+(C13/1000*Variables!B175)</f>
        <v>257</v>
      </c>
      <c r="W77" s="826"/>
      <c r="X77" s="826"/>
      <c r="Y77" s="826"/>
      <c r="Z77" s="760"/>
      <c r="AA77" s="760"/>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61" t="str">
        <f>VLOOKUP("Y",BA61:BB76,2,FALSE)</f>
        <v>SELECT REQUIRED PCA &amp; PLUMBING INSPECTIONS BELOW - NOTE: N/A = SELECTION NOT APPLICABLE</v>
      </c>
      <c r="BB77" s="763"/>
      <c r="BC77" s="761" t="str">
        <f>IF(C13="","Y","N")</f>
        <v>Y</v>
      </c>
      <c r="BD77" s="763"/>
      <c r="BE77" s="763"/>
      <c r="BF77" s="763"/>
      <c r="BG77" s="763"/>
      <c r="BH77" s="763"/>
      <c r="BI77" s="763"/>
      <c r="BJ77" s="763"/>
      <c r="BK77" s="763"/>
      <c r="BL77" s="763"/>
      <c r="BM77" s="763"/>
      <c r="BN77" s="763"/>
      <c r="BO77" s="763"/>
      <c r="BP77" s="763"/>
      <c r="BQ77" s="764"/>
      <c r="BR77" s="754"/>
      <c r="BS77" s="754"/>
      <c r="BT77" s="754"/>
      <c r="BU77" s="754"/>
      <c r="BV77" s="754"/>
      <c r="BW77" s="754"/>
      <c r="BX77" s="754"/>
      <c r="BY77" s="754"/>
      <c r="BZ77" s="754"/>
    </row>
    <row r="78" spans="1:78" s="746" customFormat="1" ht="15" customHeight="1" x14ac:dyDescent="0.2">
      <c r="A78" s="29"/>
      <c r="B78" s="63" t="s">
        <v>9</v>
      </c>
      <c r="C78" s="919" t="str">
        <f>IF(AND(C15&lt;&gt;"",C13&gt;=Variables!B120),ROUNDDOWN(Variables!B107*C13,0),"")</f>
        <v/>
      </c>
      <c r="D78" s="920"/>
      <c r="E78" s="911"/>
      <c r="F78" s="912" t="str">
        <f>IF(C78&lt;&gt;"","0.35%  on $25,000 or more - Payable before release of CC/CDC","")</f>
        <v/>
      </c>
      <c r="G78" s="912"/>
      <c r="H78" s="912"/>
      <c r="I78" s="912"/>
      <c r="J78" s="769"/>
      <c r="K78" s="760"/>
      <c r="L78" s="760"/>
      <c r="M78" s="760"/>
      <c r="N78" s="770"/>
      <c r="O78" s="754"/>
      <c r="P78" s="826"/>
      <c r="Q78" s="826" t="e">
        <f>VLOOKUP("Y",P74:Q77,2,0)</f>
        <v>#N/A</v>
      </c>
      <c r="R78" s="826"/>
      <c r="S78" s="828" t="s">
        <v>391</v>
      </c>
      <c r="T78" s="826" t="str">
        <f>IF(C13&gt;500000,"Y","N")</f>
        <v>N</v>
      </c>
      <c r="U78" s="826">
        <f>Variables!B168</f>
        <v>1870</v>
      </c>
      <c r="V78" s="827">
        <f>Variables!B173+(C13/1000*Variables!B175)</f>
        <v>308</v>
      </c>
      <c r="W78" s="826"/>
      <c r="X78" s="826"/>
      <c r="Y78" s="826"/>
      <c r="Z78" s="760"/>
      <c r="AA78" s="760"/>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64" t="str">
        <f>IFERROR(BA77,"")</f>
        <v>SELECT REQUIRED PCA &amp; PLUMBING INSPECTIONS BELOW - NOTE: N/A = SELECTION NOT APPLICABLE</v>
      </c>
      <c r="BB78" s="764"/>
      <c r="BC78" s="764"/>
      <c r="BD78" s="764"/>
      <c r="BE78" s="764"/>
      <c r="BF78" s="764"/>
      <c r="BG78" s="764"/>
      <c r="BH78" s="764"/>
      <c r="BI78" s="764"/>
      <c r="BJ78" s="764"/>
      <c r="BK78" s="764"/>
      <c r="BL78" s="764"/>
      <c r="BM78" s="764"/>
      <c r="BN78" s="764"/>
      <c r="BO78" s="764"/>
      <c r="BP78" s="764"/>
      <c r="BQ78" s="764"/>
      <c r="BR78" s="754"/>
      <c r="BS78" s="754"/>
      <c r="BT78" s="754"/>
      <c r="BU78" s="754"/>
      <c r="BV78" s="754"/>
      <c r="BW78" s="754"/>
      <c r="BX78" s="754"/>
      <c r="BY78" s="754"/>
      <c r="BZ78" s="754"/>
    </row>
    <row r="79" spans="1:78" s="746" customFormat="1" ht="14.25" customHeight="1" x14ac:dyDescent="0.2">
      <c r="A79" s="31"/>
      <c r="B79" s="63" t="s">
        <v>33</v>
      </c>
      <c r="C79" s="919" t="str">
        <f>IF(AND(C27="Yes",I27&gt;0),Variables!B121*I27,"")</f>
        <v/>
      </c>
      <c r="D79" s="920"/>
      <c r="E79" s="915" t="str">
        <f>IF(C79&lt;&gt;""," Plus Separate Cheques to each Approval Body @ $320 each","")</f>
        <v/>
      </c>
      <c r="F79" s="916"/>
      <c r="G79" s="916"/>
      <c r="H79" s="916"/>
      <c r="I79" s="916"/>
      <c r="J79" s="768"/>
      <c r="K79" s="760"/>
      <c r="L79" s="760"/>
      <c r="M79" s="760"/>
      <c r="N79" s="770"/>
      <c r="O79" s="760"/>
      <c r="P79" s="826"/>
      <c r="Q79" s="826" t="str">
        <f>IF(C13&lt;&gt;"",Q78,"")</f>
        <v/>
      </c>
      <c r="R79" s="826"/>
      <c r="S79" s="828" t="s">
        <v>392</v>
      </c>
      <c r="T79" s="826"/>
      <c r="U79" s="826">
        <f>Variables!B168</f>
        <v>1870</v>
      </c>
      <c r="V79" s="827">
        <f>Variables!B174+(C13/1000*Variables!B175)</f>
        <v>410</v>
      </c>
      <c r="W79" s="826"/>
      <c r="X79" s="826"/>
      <c r="Y79" s="826"/>
      <c r="Z79" s="760"/>
      <c r="AA79" s="760"/>
      <c r="AB79" s="760"/>
      <c r="AC79" s="760"/>
      <c r="AD79" s="760"/>
      <c r="AE79" s="760"/>
      <c r="AF79" s="760"/>
      <c r="AG79" s="760"/>
      <c r="AH79" s="760"/>
      <c r="AI79" s="760"/>
      <c r="AJ79" s="760"/>
      <c r="AK79" s="760"/>
      <c r="AL79" s="760"/>
      <c r="AM79" s="760"/>
      <c r="AN79" s="760"/>
      <c r="AO79" s="760"/>
      <c r="AP79" s="760"/>
      <c r="AQ79" s="760"/>
      <c r="AR79" s="760"/>
      <c r="AS79" s="760"/>
      <c r="AT79" s="760"/>
      <c r="AU79" s="760"/>
      <c r="AV79" s="760"/>
      <c r="AW79" s="760"/>
      <c r="AX79" s="760"/>
      <c r="AY79" s="760"/>
      <c r="AZ79" s="760"/>
      <c r="BA79" s="754"/>
      <c r="BB79" s="764"/>
      <c r="BC79" s="764"/>
      <c r="BD79" s="764"/>
      <c r="BE79" s="764"/>
      <c r="BF79" s="764"/>
      <c r="BG79" s="764"/>
      <c r="BH79" s="764"/>
      <c r="BI79" s="764"/>
      <c r="BJ79" s="764"/>
      <c r="BK79" s="764"/>
      <c r="BL79" s="764"/>
      <c r="BM79" s="764"/>
      <c r="BN79" s="764"/>
      <c r="BO79" s="764"/>
      <c r="BP79" s="764"/>
      <c r="BQ79" s="764"/>
      <c r="BR79" s="760"/>
      <c r="BS79" s="760"/>
      <c r="BT79" s="760"/>
      <c r="BU79" s="760"/>
      <c r="BV79" s="760"/>
      <c r="BW79" s="760"/>
      <c r="BX79" s="760"/>
      <c r="BY79" s="760"/>
      <c r="BZ79" s="760"/>
    </row>
    <row r="80" spans="1:78" s="746" customFormat="1" ht="16.5" customHeight="1" x14ac:dyDescent="0.2">
      <c r="A80" s="31"/>
      <c r="B80" s="63" t="s">
        <v>52</v>
      </c>
      <c r="C80" s="919" t="str">
        <f>IF(C29="Yes",Variables!B49,"")</f>
        <v/>
      </c>
      <c r="D80" s="920"/>
      <c r="E80" s="917" t="str">
        <f>IF(C56="Yes","BUSHFIRE INFORMATION","")</f>
        <v/>
      </c>
      <c r="F80" s="918"/>
      <c r="G80" s="918"/>
      <c r="H80" s="918"/>
      <c r="I80" s="918"/>
      <c r="J80" s="768"/>
      <c r="K80" s="760"/>
      <c r="L80" s="760"/>
      <c r="M80" s="760"/>
      <c r="N80" s="770"/>
      <c r="O80" s="760"/>
      <c r="P80" s="826"/>
      <c r="Q80" s="826"/>
      <c r="R80" s="826"/>
      <c r="S80" s="826"/>
      <c r="T80" s="826"/>
      <c r="U80" s="826">
        <f>VLOOKUP("Y",T72:U79,2,0)</f>
        <v>268</v>
      </c>
      <c r="V80" s="826">
        <f>VLOOKUP("Y",T72:V79,3,0)</f>
        <v>557</v>
      </c>
      <c r="W80" s="826"/>
      <c r="X80" s="826"/>
      <c r="Y80" s="826"/>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0"/>
      <c r="AY80" s="760"/>
      <c r="AZ80" s="760"/>
      <c r="BA80" s="760"/>
      <c r="BB80" s="754"/>
      <c r="BC80" s="754"/>
      <c r="BD80" s="754"/>
      <c r="BE80" s="754"/>
      <c r="BF80" s="754"/>
      <c r="BG80" s="754"/>
      <c r="BH80" s="754"/>
      <c r="BI80" s="754"/>
      <c r="BJ80" s="754"/>
      <c r="BK80" s="754"/>
      <c r="BL80" s="754"/>
      <c r="BM80" s="754"/>
      <c r="BN80" s="754"/>
      <c r="BO80" s="760"/>
      <c r="BP80" s="760"/>
      <c r="BQ80" s="760"/>
      <c r="BR80" s="760"/>
      <c r="BS80" s="760"/>
      <c r="BT80" s="760"/>
      <c r="BU80" s="760"/>
      <c r="BV80" s="760"/>
      <c r="BW80" s="760"/>
      <c r="BX80" s="760"/>
      <c r="BY80" s="760"/>
      <c r="BZ80" s="760"/>
    </row>
    <row r="81" spans="1:78" s="746" customFormat="1" ht="15.75" customHeight="1" x14ac:dyDescent="0.2">
      <c r="A81" s="32"/>
      <c r="B81" s="63" t="s">
        <v>10</v>
      </c>
      <c r="C81" s="919" t="str">
        <f>IF(M57&gt;0,M57,"")</f>
        <v/>
      </c>
      <c r="D81" s="920"/>
      <c r="E81" s="983" t="str">
        <f>IF(AND(N95=1,C56="Yes"),Variables!AE1,IF(AND(C56="Yes",N95=0),Variables!AE2,""))</f>
        <v/>
      </c>
      <c r="F81" s="984"/>
      <c r="G81" s="984"/>
      <c r="H81" s="984"/>
      <c r="I81" s="984"/>
      <c r="J81" s="768"/>
      <c r="K81" s="760"/>
      <c r="L81" s="760"/>
      <c r="M81" s="760"/>
      <c r="N81" s="770"/>
      <c r="O81" s="760"/>
      <c r="P81" s="977" t="s">
        <v>1599</v>
      </c>
      <c r="Q81" s="954"/>
      <c r="R81" s="954"/>
      <c r="S81" s="954"/>
      <c r="T81" s="954"/>
      <c r="U81" s="954"/>
      <c r="V81" s="954"/>
      <c r="W81" s="954"/>
      <c r="X81" s="954"/>
      <c r="Y81" s="954"/>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0"/>
      <c r="AY81" s="760"/>
      <c r="AZ81" s="760"/>
      <c r="BA81" s="760"/>
      <c r="BB81" s="754"/>
      <c r="BC81" s="754">
        <f>IF(AND(C15=Variables!E7,C13&gt;250000),1,0)</f>
        <v>0</v>
      </c>
      <c r="BD81" s="754"/>
      <c r="BE81" s="754"/>
      <c r="BF81" s="754"/>
      <c r="BG81" s="754"/>
      <c r="BH81" s="754"/>
      <c r="BI81" s="754"/>
      <c r="BJ81" s="754"/>
      <c r="BK81" s="754"/>
      <c r="BL81" s="754"/>
      <c r="BM81" s="754"/>
      <c r="BN81" s="754"/>
      <c r="BO81" s="760"/>
      <c r="BP81" s="760"/>
      <c r="BQ81" s="760"/>
      <c r="BR81" s="760"/>
      <c r="BS81" s="760"/>
      <c r="BT81" s="760"/>
      <c r="BU81" s="760"/>
      <c r="BV81" s="760"/>
      <c r="BW81" s="760"/>
      <c r="BX81" s="760"/>
      <c r="BY81" s="760"/>
      <c r="BZ81" s="760"/>
    </row>
    <row r="82" spans="1:78" s="746" customFormat="1" ht="15.75" customHeight="1" x14ac:dyDescent="0.2">
      <c r="A82" s="32"/>
      <c r="B82" s="63" t="s">
        <v>32</v>
      </c>
      <c r="C82" s="919" t="str">
        <f>IF(OR(C52="Yes",C15=Variables!E9),Variables!B58,"")</f>
        <v/>
      </c>
      <c r="D82" s="920"/>
      <c r="E82" s="954"/>
      <c r="F82" s="954"/>
      <c r="G82" s="954"/>
      <c r="H82" s="954"/>
      <c r="I82" s="954"/>
      <c r="J82" s="768"/>
      <c r="K82" s="760"/>
      <c r="L82" s="760"/>
      <c r="M82" s="760"/>
      <c r="N82" s="770"/>
      <c r="O82" s="760"/>
      <c r="P82" s="778" t="s">
        <v>1597</v>
      </c>
      <c r="Q82" s="779"/>
      <c r="R82" s="779"/>
      <c r="S82" s="779"/>
      <c r="T82" s="779"/>
      <c r="U82" s="779"/>
      <c r="V82" s="779"/>
      <c r="W82" s="779"/>
      <c r="X82" s="779"/>
      <c r="Y82" s="780"/>
      <c r="Z82" s="760"/>
      <c r="AA82" s="760"/>
      <c r="AB82" s="760"/>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0"/>
      <c r="AY82" s="760"/>
      <c r="AZ82" s="760"/>
      <c r="BA82" s="760"/>
      <c r="BB82" s="754">
        <f>IF(C34="Yes",1,0)</f>
        <v>0</v>
      </c>
      <c r="BC82" s="754">
        <f>IF(AND(C15=Variables!E12,C13&lt;=250000),1,0)</f>
        <v>0</v>
      </c>
      <c r="BD82" s="754"/>
      <c r="BE82" s="754"/>
      <c r="BF82" s="754"/>
      <c r="BG82" s="754"/>
      <c r="BH82" s="754"/>
      <c r="BI82" s="754"/>
      <c r="BJ82" s="754"/>
      <c r="BK82" s="754"/>
      <c r="BL82" s="754"/>
      <c r="BM82" s="754"/>
      <c r="BN82" s="754"/>
      <c r="BO82" s="760"/>
      <c r="BP82" s="760"/>
      <c r="BQ82" s="760"/>
      <c r="BR82" s="760"/>
      <c r="BS82" s="760"/>
      <c r="BT82" s="760"/>
      <c r="BU82" s="760"/>
      <c r="BV82" s="760"/>
      <c r="BW82" s="760"/>
      <c r="BX82" s="760"/>
      <c r="BY82" s="760"/>
      <c r="BZ82" s="760"/>
    </row>
    <row r="83" spans="1:78" s="746" customFormat="1" ht="15" customHeight="1" x14ac:dyDescent="0.2">
      <c r="A83" s="32"/>
      <c r="B83" s="63" t="s">
        <v>322</v>
      </c>
      <c r="C83" s="919" t="str">
        <f>IF(R210&gt;0,R210,"")</f>
        <v/>
      </c>
      <c r="D83" s="920"/>
      <c r="E83" s="954"/>
      <c r="F83" s="954"/>
      <c r="G83" s="954"/>
      <c r="H83" s="954"/>
      <c r="I83" s="954"/>
      <c r="J83" s="768"/>
      <c r="K83" s="760"/>
      <c r="L83" s="760"/>
      <c r="M83" s="760"/>
      <c r="N83" s="770"/>
      <c r="O83" s="760"/>
      <c r="P83" s="779"/>
      <c r="Q83" s="779"/>
      <c r="R83" s="779"/>
      <c r="S83" s="779"/>
      <c r="T83" s="779"/>
      <c r="U83" s="779"/>
      <c r="V83" s="779"/>
      <c r="W83" s="779"/>
      <c r="X83" s="779"/>
      <c r="Y83" s="779"/>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54">
        <f>IF(C34="",0,0)</f>
        <v>0</v>
      </c>
      <c r="BC83" s="760">
        <f>IF(AND(C15=Variables!E3,C13&gt;250000),1,0)</f>
        <v>0</v>
      </c>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row>
    <row r="84" spans="1:78" s="746" customFormat="1" ht="15.75" customHeight="1" x14ac:dyDescent="0.2">
      <c r="A84" s="26"/>
      <c r="B84" s="64" t="s">
        <v>37</v>
      </c>
      <c r="C84" s="919" t="str">
        <f>IF(AND(C56="Yes",N95=0),Variables!B122,"")</f>
        <v/>
      </c>
      <c r="D84" s="920"/>
      <c r="E84" s="954"/>
      <c r="F84" s="954"/>
      <c r="G84" s="954"/>
      <c r="H84" s="954"/>
      <c r="I84" s="954"/>
      <c r="J84" s="768"/>
      <c r="K84" s="760"/>
      <c r="L84" s="760"/>
      <c r="M84" s="760"/>
      <c r="N84" s="770"/>
      <c r="O84" s="760"/>
      <c r="P84" s="779" t="s">
        <v>0</v>
      </c>
      <c r="Q84" s="781">
        <f>C13</f>
        <v>0</v>
      </c>
      <c r="R84" s="779"/>
      <c r="S84" s="782" t="s">
        <v>1</v>
      </c>
      <c r="T84" s="782" t="s">
        <v>2</v>
      </c>
      <c r="U84" s="782" t="s">
        <v>3</v>
      </c>
      <c r="V84" s="782" t="s">
        <v>4</v>
      </c>
      <c r="W84" s="782" t="s">
        <v>5</v>
      </c>
      <c r="X84" s="782" t="s">
        <v>6</v>
      </c>
      <c r="Y84" s="782" t="s">
        <v>7</v>
      </c>
      <c r="Z84" s="760"/>
      <c r="AA84" s="760"/>
      <c r="AB84" s="760"/>
      <c r="AC84" s="760"/>
      <c r="AD84" s="760"/>
      <c r="AE84" s="760"/>
      <c r="AF84" s="760"/>
      <c r="AG84" s="760"/>
      <c r="AH84" s="760"/>
      <c r="AI84" s="760"/>
      <c r="AJ84" s="760"/>
      <c r="AK84" s="760"/>
      <c r="AL84" s="760"/>
      <c r="AM84" s="760"/>
      <c r="AN84" s="760"/>
      <c r="AO84" s="760"/>
      <c r="AP84" s="760"/>
      <c r="AQ84" s="760"/>
      <c r="AR84" s="760"/>
      <c r="AS84" s="760"/>
      <c r="AT84" s="760"/>
      <c r="AU84" s="760"/>
      <c r="AV84" s="760"/>
      <c r="AW84" s="760"/>
      <c r="AX84" s="760"/>
      <c r="AY84" s="760"/>
      <c r="AZ84" s="760"/>
      <c r="BA84" s="760"/>
      <c r="BB84" s="754">
        <f>IF(C34="No",0,0)</f>
        <v>0</v>
      </c>
      <c r="BC84" s="771">
        <f>SUM(BC80:BC83)</f>
        <v>0</v>
      </c>
      <c r="BD84" s="760"/>
      <c r="BE84" s="760"/>
      <c r="BF84" s="760"/>
      <c r="BG84" s="760"/>
      <c r="BH84" s="760"/>
      <c r="BI84" s="760"/>
      <c r="BJ84" s="760"/>
      <c r="BK84" s="760"/>
      <c r="BL84" s="760"/>
      <c r="BM84" s="760"/>
      <c r="BN84" s="760"/>
      <c r="BO84" s="760"/>
      <c r="BP84" s="760"/>
      <c r="BQ84" s="760"/>
      <c r="BR84" s="760"/>
      <c r="BS84" s="760"/>
      <c r="BT84" s="760"/>
      <c r="BU84" s="760"/>
      <c r="BV84" s="760"/>
      <c r="BW84" s="760"/>
      <c r="BX84" s="760"/>
      <c r="BY84" s="760"/>
      <c r="BZ84" s="760"/>
    </row>
    <row r="85" spans="1:78" s="746" customFormat="1" ht="17.25" customHeight="1" x14ac:dyDescent="0.2">
      <c r="A85" s="26"/>
      <c r="B85" s="133" t="s">
        <v>325</v>
      </c>
      <c r="C85" s="919" t="str">
        <f>IF(C60="Yes",Variables!B123,"")</f>
        <v/>
      </c>
      <c r="D85" s="920"/>
      <c r="E85" s="954"/>
      <c r="F85" s="954"/>
      <c r="G85" s="954"/>
      <c r="H85" s="954"/>
      <c r="I85" s="954"/>
      <c r="J85" s="768"/>
      <c r="K85" s="760"/>
      <c r="L85" s="760">
        <f>IF(C13*Variables!B177&lt;=Variables!B178,Variables!B178,C13*Variables!B177)</f>
        <v>60</v>
      </c>
      <c r="M85" s="760"/>
      <c r="N85" s="770"/>
      <c r="O85" s="760"/>
      <c r="P85" s="779"/>
      <c r="Q85" s="779"/>
      <c r="R85" s="779"/>
      <c r="S85" s="783">
        <v>-1</v>
      </c>
      <c r="T85" s="783">
        <v>5000</v>
      </c>
      <c r="U85" s="783" t="str">
        <f>IF(C13&lt;=S85,"NO",IF(C13&gt;T85,"NO","YES"))</f>
        <v>YES</v>
      </c>
      <c r="V85" s="783">
        <v>0</v>
      </c>
      <c r="W85" s="784">
        <f>IF(U85="NO",0,CEILING((Q84-V85),1))</f>
        <v>0</v>
      </c>
      <c r="X85" s="785">
        <v>239</v>
      </c>
      <c r="Y85" s="786">
        <v>0</v>
      </c>
      <c r="Z85" s="760"/>
      <c r="AA85" s="760"/>
      <c r="AB85" s="760"/>
      <c r="AC85" s="760"/>
      <c r="AD85" s="760"/>
      <c r="AE85" s="760"/>
      <c r="AF85" s="760"/>
      <c r="AG85" s="760"/>
      <c r="AH85" s="760"/>
      <c r="AI85" s="760"/>
      <c r="AJ85" s="760"/>
      <c r="AK85" s="760"/>
      <c r="AL85" s="760"/>
      <c r="AM85" s="760"/>
      <c r="AN85" s="760"/>
      <c r="AO85" s="760"/>
      <c r="AP85" s="760"/>
      <c r="AQ85" s="760"/>
      <c r="AR85" s="760"/>
      <c r="AS85" s="760"/>
      <c r="AT85" s="760"/>
      <c r="AU85" s="760"/>
      <c r="AV85" s="760"/>
      <c r="AW85" s="760"/>
      <c r="AX85" s="760"/>
      <c r="AY85" s="760"/>
      <c r="AZ85" s="760"/>
      <c r="BA85" s="760"/>
      <c r="BB85" s="771">
        <f>SUM(BB82:BB84)</f>
        <v>0</v>
      </c>
      <c r="BC85" s="760"/>
      <c r="BD85" s="760"/>
      <c r="BE85" s="760"/>
      <c r="BF85" s="760"/>
      <c r="BG85" s="760"/>
      <c r="BH85" s="760"/>
      <c r="BI85" s="760"/>
      <c r="BJ85" s="760"/>
      <c r="BK85" s="760"/>
      <c r="BL85" s="760"/>
      <c r="BM85" s="760"/>
      <c r="BN85" s="760"/>
      <c r="BO85" s="760"/>
      <c r="BP85" s="760"/>
      <c r="BQ85" s="760"/>
      <c r="BR85" s="760"/>
      <c r="BS85" s="760"/>
      <c r="BT85" s="760"/>
      <c r="BU85" s="760"/>
      <c r="BV85" s="760"/>
      <c r="BW85" s="760"/>
      <c r="BX85" s="760"/>
      <c r="BY85" s="760"/>
      <c r="BZ85" s="760"/>
    </row>
    <row r="86" spans="1:78" s="746" customFormat="1" ht="15" customHeight="1" thickBot="1" x14ac:dyDescent="0.25">
      <c r="A86" s="26"/>
      <c r="B86" s="63" t="s">
        <v>63</v>
      </c>
      <c r="C86" s="919" t="str">
        <f>IF(AE136&gt;0,AE136,"")</f>
        <v/>
      </c>
      <c r="D86" s="920"/>
      <c r="E86" s="954"/>
      <c r="F86" s="954"/>
      <c r="G86" s="954"/>
      <c r="H86" s="954"/>
      <c r="I86" s="954"/>
      <c r="J86" s="768"/>
      <c r="K86" s="760"/>
      <c r="L86" s="760"/>
      <c r="M86" s="760"/>
      <c r="N86" s="770"/>
      <c r="O86" s="760"/>
      <c r="P86" s="779" t="s">
        <v>12</v>
      </c>
      <c r="Q86" s="787">
        <f>VLOOKUP("YES",U$85:X$88,4,FALSE)+(VLOOKUP("YES",U$85:Y$88,5,FALSE)*VLOOKUP("YES",U$85:W$88,3,FALSE))</f>
        <v>239</v>
      </c>
      <c r="R86" s="779"/>
      <c r="S86" s="783">
        <f>+T85+1</f>
        <v>5001</v>
      </c>
      <c r="T86" s="783">
        <v>100000</v>
      </c>
      <c r="U86" s="783" t="str">
        <f>IF(C13&lt;=S86,"NO",IF(C13&gt;T86,"NO","YES"))</f>
        <v>NO</v>
      </c>
      <c r="V86" s="783">
        <f>+T85</f>
        <v>5000</v>
      </c>
      <c r="W86" s="784">
        <f>IF(U86="NO",0,CEILING((Q84-V86),1))</f>
        <v>0</v>
      </c>
      <c r="X86" s="785">
        <v>274</v>
      </c>
      <c r="Y86" s="786">
        <v>3.7000000000000002E-3</v>
      </c>
      <c r="Z86" s="760"/>
      <c r="AA86" s="760"/>
      <c r="AB86" s="760"/>
      <c r="AC86" s="760"/>
      <c r="AD86" s="760"/>
      <c r="AE86" s="760"/>
      <c r="AF86" s="760"/>
      <c r="AG86" s="760"/>
      <c r="AH86" s="760"/>
      <c r="AI86" s="760"/>
      <c r="AJ86" s="760"/>
      <c r="AK86" s="760"/>
      <c r="AL86" s="760"/>
      <c r="AM86" s="760"/>
      <c r="AN86" s="760"/>
      <c r="AO86" s="760"/>
      <c r="AP86" s="760"/>
      <c r="AQ86" s="760"/>
      <c r="AR86" s="760"/>
      <c r="AS86" s="760"/>
      <c r="AT86" s="760"/>
      <c r="AU86" s="760"/>
      <c r="AV86" s="760"/>
      <c r="AW86" s="760"/>
      <c r="AX86" s="760"/>
      <c r="AY86" s="760"/>
      <c r="AZ86" s="760"/>
      <c r="BA86" s="760"/>
      <c r="BB86" s="760"/>
      <c r="BC86" s="760"/>
      <c r="BD86" s="760"/>
      <c r="BE86" s="760"/>
      <c r="BF86" s="760"/>
      <c r="BG86" s="760"/>
      <c r="BH86" s="760"/>
      <c r="BI86" s="760"/>
      <c r="BJ86" s="760"/>
      <c r="BK86" s="760"/>
      <c r="BL86" s="760"/>
      <c r="BM86" s="760"/>
      <c r="BN86" s="760"/>
      <c r="BO86" s="760"/>
      <c r="BP86" s="760"/>
      <c r="BQ86" s="760"/>
      <c r="BR86" s="760"/>
      <c r="BS86" s="760"/>
      <c r="BT86" s="760"/>
      <c r="BU86" s="760"/>
      <c r="BV86" s="760"/>
      <c r="BW86" s="760"/>
      <c r="BX86" s="760"/>
      <c r="BY86" s="760"/>
      <c r="BZ86" s="760"/>
    </row>
    <row r="87" spans="1:78" s="746" customFormat="1" ht="16.5" thickBot="1" x14ac:dyDescent="0.3">
      <c r="A87" s="722"/>
      <c r="B87" s="36" t="s">
        <v>35</v>
      </c>
      <c r="C87" s="909">
        <f>SUM(C67,C68,C69,C70,C71,C72,C73,C74,C75,C76,C77,C78,C79,C80,C81,C82,C83,C84,C85,C86)</f>
        <v>0</v>
      </c>
      <c r="D87" s="910"/>
      <c r="E87" s="954"/>
      <c r="F87" s="954"/>
      <c r="G87" s="954"/>
      <c r="H87" s="954"/>
      <c r="I87" s="954"/>
      <c r="J87" s="768"/>
      <c r="K87" s="760"/>
      <c r="L87" s="760"/>
      <c r="M87" s="760"/>
      <c r="N87" s="770"/>
      <c r="O87" s="760"/>
      <c r="P87" s="779"/>
      <c r="Q87" s="779"/>
      <c r="R87" s="779"/>
      <c r="S87" s="783">
        <f>+T86+1</f>
        <v>100001</v>
      </c>
      <c r="T87" s="783">
        <v>250000</v>
      </c>
      <c r="U87" s="783" t="str">
        <f>IF(C13&lt;=S87,"NO",IF(C13&gt;T87,"NO","YES"))</f>
        <v>NO</v>
      </c>
      <c r="V87" s="783">
        <f>+T86</f>
        <v>100000</v>
      </c>
      <c r="W87" s="784">
        <f>IF(U87="NO",0,CEILING((Q84-V87),1))</f>
        <v>0</v>
      </c>
      <c r="X87" s="785">
        <v>625.5</v>
      </c>
      <c r="Y87" s="786">
        <v>2E-3</v>
      </c>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0"/>
      <c r="BA87" s="760" t="str">
        <f>IF(K69=1,"Y","N")</f>
        <v>N</v>
      </c>
      <c r="BB87" s="754" t="str">
        <f>Variables!V1</f>
        <v>**Plumbing Inspections  (N/A = No Selection Required)</v>
      </c>
      <c r="BC87" s="760"/>
      <c r="BD87" s="760"/>
      <c r="BE87" s="760"/>
      <c r="BF87" s="760"/>
      <c r="BG87" s="760"/>
      <c r="BH87" s="760"/>
      <c r="BI87" s="760"/>
      <c r="BJ87" s="760"/>
      <c r="BK87" s="760"/>
      <c r="BL87" s="760"/>
      <c r="BM87" s="760"/>
      <c r="BN87" s="760"/>
      <c r="BO87" s="760"/>
      <c r="BP87" s="760"/>
      <c r="BQ87" s="760"/>
      <c r="BR87" s="760"/>
      <c r="BS87" s="760"/>
      <c r="BT87" s="760"/>
      <c r="BU87" s="760"/>
      <c r="BV87" s="760"/>
      <c r="BW87" s="760"/>
      <c r="BX87" s="760"/>
      <c r="BY87" s="760"/>
      <c r="BZ87" s="760"/>
    </row>
    <row r="88" spans="1:78" hidden="1" x14ac:dyDescent="0.2">
      <c r="A88" s="720"/>
      <c r="B88" s="127"/>
      <c r="C88" s="13"/>
      <c r="D88" s="14"/>
      <c r="E88" s="15"/>
      <c r="F88" s="134"/>
      <c r="G88" s="134"/>
      <c r="H88" s="134"/>
      <c r="I88" s="134"/>
      <c r="J88" s="11"/>
      <c r="K88" s="1"/>
      <c r="L88" s="1"/>
      <c r="M88" s="1"/>
      <c r="N88" s="69"/>
      <c r="O88" s="1"/>
      <c r="P88" s="788"/>
      <c r="Q88" s="788"/>
      <c r="R88" s="788"/>
      <c r="S88" s="789">
        <v>500000</v>
      </c>
      <c r="T88" s="789">
        <v>999999999</v>
      </c>
      <c r="U88" s="790" t="str">
        <f>IF(C13&lt;=S88,"NO",IF(C13&gt;T88,"NO","YES"))</f>
        <v>NO</v>
      </c>
      <c r="V88" s="789">
        <f>+T87</f>
        <v>250000</v>
      </c>
      <c r="W88" s="791">
        <f>IF(U88="NO",0,CEILING((C13-V88),1))</f>
        <v>0</v>
      </c>
      <c r="X88" s="792">
        <v>936.5</v>
      </c>
      <c r="Y88" s="793">
        <v>1.1000000000000001E-3</v>
      </c>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t="str">
        <f>IF(AND(K65=0,K64=0),"Y","N")</f>
        <v>Y</v>
      </c>
      <c r="BB88" s="11" t="str">
        <f>Variables!V2</f>
        <v>**Plumbing Inspections Require Applicable Permits (see above)</v>
      </c>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1:78" hidden="1" x14ac:dyDescent="0.2">
      <c r="A89" s="10"/>
      <c r="B89" s="127"/>
      <c r="C89" s="13"/>
      <c r="D89" s="14"/>
      <c r="E89" s="15"/>
      <c r="F89" s="12"/>
      <c r="G89" s="12"/>
      <c r="H89" s="12"/>
      <c r="I89" s="16"/>
      <c r="J89" s="11"/>
      <c r="K89" s="1"/>
      <c r="L89" s="1"/>
      <c r="M89" s="1"/>
      <c r="N89" s="69"/>
      <c r="O89" s="1"/>
      <c r="P89" s="773"/>
      <c r="Q89" s="773"/>
      <c r="R89" s="773"/>
      <c r="S89" s="773"/>
      <c r="T89" s="773"/>
      <c r="U89" s="773"/>
      <c r="V89" s="773"/>
      <c r="W89" s="773"/>
      <c r="X89" s="773"/>
      <c r="Y89" s="773"/>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t="str">
        <f>IF(K69&gt;1,"Y","N")</f>
        <v>N</v>
      </c>
      <c r="BB89" s="11" t="str">
        <f>Variables!V3</f>
        <v>**Plumbing Inspections NOT Required</v>
      </c>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1:78" hidden="1" x14ac:dyDescent="0.2">
      <c r="A90" s="2"/>
      <c r="B90" s="127"/>
      <c r="C90" s="13"/>
      <c r="D90" s="14"/>
      <c r="E90" s="15"/>
      <c r="F90" s="12"/>
      <c r="G90" s="12"/>
      <c r="H90" s="12"/>
      <c r="I90" s="16"/>
      <c r="J90" s="11"/>
      <c r="K90" s="1"/>
      <c r="L90" s="1"/>
      <c r="M90" s="1"/>
      <c r="N90" s="69"/>
      <c r="O90" s="1"/>
      <c r="P90" s="773"/>
      <c r="Q90" s="773"/>
      <c r="R90" s="773"/>
      <c r="S90" s="773"/>
      <c r="T90" s="773"/>
      <c r="U90" s="773"/>
      <c r="V90" s="773"/>
      <c r="W90" s="773"/>
      <c r="X90" s="773"/>
      <c r="Y90" s="773"/>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t="str">
        <f>VLOOKUP("Y",BA87:BB89,2,FALSE)</f>
        <v>**Plumbing Inspections Require Applicable Permits (see above)</v>
      </c>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1:78" hidden="1" x14ac:dyDescent="0.2">
      <c r="A91" s="2"/>
      <c r="B91" s="127"/>
      <c r="C91" s="13"/>
      <c r="D91" s="14"/>
      <c r="E91" s="15"/>
      <c r="F91" s="12"/>
      <c r="G91" s="12"/>
      <c r="H91" s="12"/>
      <c r="I91" s="16"/>
      <c r="J91" s="11"/>
      <c r="K91" s="1"/>
      <c r="L91" s="1"/>
      <c r="M91" s="1"/>
      <c r="N91" s="69"/>
      <c r="O91" s="1"/>
      <c r="P91" s="794" t="s">
        <v>1598</v>
      </c>
      <c r="Q91" s="788"/>
      <c r="R91" s="788"/>
      <c r="S91" s="788"/>
      <c r="T91" s="788"/>
      <c r="U91" s="788"/>
      <c r="V91" s="788"/>
      <c r="W91" s="788"/>
      <c r="X91" s="788"/>
      <c r="Y91" s="795"/>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1:78" hidden="1" x14ac:dyDescent="0.2">
      <c r="A92" s="2"/>
      <c r="B92" s="127"/>
      <c r="C92" s="13"/>
      <c r="D92" s="14"/>
      <c r="E92" s="15"/>
      <c r="F92" s="12"/>
      <c r="G92" s="12"/>
      <c r="H92" s="12"/>
      <c r="I92" s="16"/>
      <c r="J92" s="11"/>
      <c r="K92" s="1"/>
      <c r="L92" s="1"/>
      <c r="M92" s="1"/>
      <c r="N92" s="69"/>
      <c r="O92" s="1"/>
      <c r="P92" s="788"/>
      <c r="Q92" s="788"/>
      <c r="R92" s="788"/>
      <c r="S92" s="788"/>
      <c r="T92" s="788"/>
      <c r="U92" s="788"/>
      <c r="V92" s="788"/>
      <c r="W92" s="788"/>
      <c r="X92" s="788"/>
      <c r="Y92" s="788"/>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1:78" hidden="1" x14ac:dyDescent="0.2">
      <c r="A93" s="2"/>
      <c r="B93" s="127"/>
      <c r="C93" s="13"/>
      <c r="D93" s="14"/>
      <c r="E93" s="15"/>
      <c r="F93" s="12"/>
      <c r="G93" s="12"/>
      <c r="H93" s="12"/>
      <c r="I93" s="16"/>
      <c r="J93" s="11"/>
      <c r="K93" s="1"/>
      <c r="L93" s="1"/>
      <c r="M93" s="1"/>
      <c r="N93" s="865">
        <f>IF(C15=Variables!E2,1,0)</f>
        <v>0</v>
      </c>
      <c r="O93" s="1"/>
      <c r="P93" s="788" t="s">
        <v>0</v>
      </c>
      <c r="Q93" s="796">
        <f>C13</f>
        <v>0</v>
      </c>
      <c r="R93" s="788"/>
      <c r="S93" s="797" t="s">
        <v>1</v>
      </c>
      <c r="T93" s="797" t="s">
        <v>2</v>
      </c>
      <c r="U93" s="797" t="s">
        <v>3</v>
      </c>
      <c r="V93" s="797" t="s">
        <v>4</v>
      </c>
      <c r="W93" s="797" t="s">
        <v>5</v>
      </c>
      <c r="X93" s="797" t="s">
        <v>6</v>
      </c>
      <c r="Y93" s="797" t="s">
        <v>7</v>
      </c>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1:78" hidden="1" x14ac:dyDescent="0.2">
      <c r="A94" s="2"/>
      <c r="B94" s="127"/>
      <c r="C94" s="13"/>
      <c r="D94" s="14"/>
      <c r="E94" s="15"/>
      <c r="F94" s="12"/>
      <c r="G94" s="12"/>
      <c r="H94" s="12"/>
      <c r="I94" s="16"/>
      <c r="J94" s="11"/>
      <c r="K94" s="1"/>
      <c r="L94" s="1"/>
      <c r="M94" s="1"/>
      <c r="N94" s="865">
        <f>IF(C15=Variables!E3,1,0)</f>
        <v>0</v>
      </c>
      <c r="O94" s="1"/>
      <c r="P94" s="788"/>
      <c r="Q94" s="788"/>
      <c r="R94" s="788"/>
      <c r="S94" s="789">
        <v>0</v>
      </c>
      <c r="T94" s="789">
        <v>5000</v>
      </c>
      <c r="U94" s="790" t="str">
        <f>IF(C13&lt;=S94,"NO",IF(C13&gt;T94,"NO","YES"))</f>
        <v>NO</v>
      </c>
      <c r="V94" s="789">
        <v>0</v>
      </c>
      <c r="W94" s="791">
        <f>IF(U94="NO",0,CEILING((Q93-V94),1))</f>
        <v>0</v>
      </c>
      <c r="X94" s="792">
        <v>239</v>
      </c>
      <c r="Y94" s="793">
        <v>0</v>
      </c>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1:78" hidden="1" x14ac:dyDescent="0.2">
      <c r="A95" s="2"/>
      <c r="B95" s="127"/>
      <c r="C95" s="13"/>
      <c r="D95" s="14"/>
      <c r="E95" s="15"/>
      <c r="F95" s="12"/>
      <c r="G95" s="12" t="str">
        <f>IF(B82="Notification Fee",C84,"d")</f>
        <v/>
      </c>
      <c r="H95" s="12"/>
      <c r="I95" s="16"/>
      <c r="J95" s="11"/>
      <c r="K95" s="1"/>
      <c r="L95" s="1"/>
      <c r="M95" s="1"/>
      <c r="N95" s="865">
        <f>SUM(N93:N94)</f>
        <v>0</v>
      </c>
      <c r="O95" s="1"/>
      <c r="P95" s="788" t="s">
        <v>12</v>
      </c>
      <c r="Q95" s="798" t="e">
        <f>VLOOKUP("YES",U$94:X$97,4,FALSE)+(VLOOKUP("YES",U$94:Y$97,5,FALSE)*VLOOKUP("YES",U$94:W$97,3,FALSE))</f>
        <v>#N/A</v>
      </c>
      <c r="R95" s="788"/>
      <c r="S95" s="789">
        <f>+T94+1</f>
        <v>5001</v>
      </c>
      <c r="T95" s="789">
        <v>100000</v>
      </c>
      <c r="U95" s="790" t="str">
        <f>IF(C13&lt;=S95,"NO",IF(C13&gt;T95,"NO","YES"))</f>
        <v>NO</v>
      </c>
      <c r="V95" s="789">
        <f>+T94</f>
        <v>5000</v>
      </c>
      <c r="W95" s="791">
        <f>IF(U95="NO",0,CEILING((Q93-V95),1))</f>
        <v>0</v>
      </c>
      <c r="X95" s="792">
        <v>274</v>
      </c>
      <c r="Y95" s="793">
        <v>3.7000000000000002E-3</v>
      </c>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1:78" hidden="1" x14ac:dyDescent="0.2">
      <c r="A96" s="2"/>
      <c r="B96" s="127"/>
      <c r="C96" s="13"/>
      <c r="D96" s="14"/>
      <c r="E96" s="15"/>
      <c r="F96" s="12"/>
      <c r="G96" s="12"/>
      <c r="H96" s="12"/>
      <c r="I96" s="16"/>
      <c r="J96" s="11"/>
      <c r="K96" s="1"/>
      <c r="L96" s="17"/>
      <c r="M96" s="1"/>
      <c r="N96" s="865"/>
      <c r="O96" s="1"/>
      <c r="P96" s="788"/>
      <c r="Q96" s="788"/>
      <c r="R96" s="788"/>
      <c r="S96" s="789">
        <f>+T95+1</f>
        <v>100001</v>
      </c>
      <c r="T96" s="789">
        <v>250000</v>
      </c>
      <c r="U96" s="790" t="str">
        <f>IF(C13&lt;=S96,"NO",IF(C13&gt;T96,"NO","YES"))</f>
        <v>NO</v>
      </c>
      <c r="V96" s="789">
        <f>+T95</f>
        <v>100000</v>
      </c>
      <c r="W96" s="791">
        <f>IF(U96="NO",0,CEILING((Q93-V96),1))</f>
        <v>0</v>
      </c>
      <c r="X96" s="792">
        <v>625.5</v>
      </c>
      <c r="Y96" s="793">
        <v>2E-3</v>
      </c>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1:78" hidden="1" x14ac:dyDescent="0.2">
      <c r="A97" s="2"/>
      <c r="B97" s="127"/>
      <c r="C97" s="13"/>
      <c r="D97" s="14"/>
      <c r="E97" s="15"/>
      <c r="F97" s="12"/>
      <c r="G97" s="12"/>
      <c r="H97" s="12"/>
      <c r="I97" s="16"/>
      <c r="J97" s="11"/>
      <c r="K97" s="1"/>
      <c r="L97" s="1"/>
      <c r="M97" s="1"/>
      <c r="N97" s="865"/>
      <c r="O97" s="1"/>
      <c r="P97" s="788"/>
      <c r="Q97" s="788"/>
      <c r="R97" s="788"/>
      <c r="S97" s="789">
        <f>+T96+1</f>
        <v>250001</v>
      </c>
      <c r="T97" s="789">
        <v>999999999</v>
      </c>
      <c r="U97" s="790" t="str">
        <f>IF(C13&lt;=S97,"NO",IF(C13&gt;T97,"NO","YES"))</f>
        <v>NO</v>
      </c>
      <c r="V97" s="789">
        <f>+T96</f>
        <v>250000</v>
      </c>
      <c r="W97" s="791">
        <f>IF(U97="NO",0,CEILING((C13-V97),1))</f>
        <v>0</v>
      </c>
      <c r="X97" s="792">
        <v>994.5</v>
      </c>
      <c r="Y97" s="793">
        <v>1.1000000000000001E-3</v>
      </c>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1:78" hidden="1" x14ac:dyDescent="0.2">
      <c r="A98" s="2"/>
      <c r="B98" s="128"/>
      <c r="C98" s="13"/>
      <c r="D98" s="14"/>
      <c r="E98" s="15"/>
      <c r="F98" s="12"/>
      <c r="G98" s="12"/>
      <c r="H98" s="12"/>
      <c r="I98" s="16"/>
      <c r="J98" s="11"/>
      <c r="K98" s="1"/>
      <c r="L98" s="17"/>
      <c r="M98" s="1"/>
      <c r="N98" s="865"/>
      <c r="O98" s="1"/>
      <c r="P98" s="773"/>
      <c r="Q98" s="773"/>
      <c r="R98" s="773"/>
      <c r="S98" s="773"/>
      <c r="T98" s="773"/>
      <c r="U98" s="773"/>
      <c r="V98" s="773"/>
      <c r="W98" s="773"/>
      <c r="X98" s="773"/>
      <c r="Y98" s="773"/>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1:78" hidden="1" x14ac:dyDescent="0.2">
      <c r="A99" s="2"/>
      <c r="B99" s="20"/>
      <c r="C99" s="13"/>
      <c r="D99" s="14"/>
      <c r="E99" s="15"/>
      <c r="F99" s="12"/>
      <c r="G99" s="12"/>
      <c r="H99" s="12"/>
      <c r="I99" s="16"/>
      <c r="J99" s="11"/>
      <c r="K99" s="1"/>
      <c r="L99" s="1"/>
      <c r="M99" s="1"/>
      <c r="N99" s="865"/>
      <c r="O99" s="1"/>
      <c r="P99" s="67"/>
      <c r="Q99" s="67"/>
      <c r="R99" s="67"/>
      <c r="S99" s="67"/>
      <c r="T99" s="67"/>
      <c r="U99" s="800" t="s">
        <v>19</v>
      </c>
      <c r="V99" s="800" t="s">
        <v>20</v>
      </c>
      <c r="W99" s="67"/>
      <c r="X99" s="67"/>
      <c r="Y99" s="67"/>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1:78" hidden="1" x14ac:dyDescent="0.2">
      <c r="A100" s="2"/>
      <c r="B100" s="129"/>
      <c r="C100" s="4"/>
      <c r="D100" s="5"/>
      <c r="E100" s="6"/>
      <c r="F100" s="12"/>
      <c r="G100" s="12"/>
      <c r="H100" s="12"/>
      <c r="I100" s="16"/>
      <c r="J100" s="11"/>
      <c r="K100" s="1"/>
      <c r="L100" s="1"/>
      <c r="M100" s="1"/>
      <c r="N100" s="865"/>
      <c r="O100" s="1"/>
      <c r="P100" s="799"/>
      <c r="Q100" s="773"/>
      <c r="R100" s="773"/>
      <c r="S100" s="774" t="s">
        <v>382</v>
      </c>
      <c r="T100" s="773" t="str">
        <f>IF(C13&lt;=5000,"Y","N")</f>
        <v>Y</v>
      </c>
      <c r="U100" s="773">
        <f>Variables!B145</f>
        <v>252</v>
      </c>
      <c r="V100" s="773">
        <f>Variables!B153</f>
        <v>515</v>
      </c>
      <c r="W100" s="773"/>
      <c r="X100" s="773"/>
      <c r="Y100" s="773"/>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1:78" hidden="1" x14ac:dyDescent="0.2">
      <c r="A101" s="2"/>
      <c r="B101" s="129"/>
      <c r="C101" s="4"/>
      <c r="D101" s="5"/>
      <c r="E101" s="6"/>
      <c r="F101" s="12"/>
      <c r="G101" s="12"/>
      <c r="H101" s="12"/>
      <c r="I101" s="16"/>
      <c r="J101" s="11"/>
      <c r="K101" s="1"/>
      <c r="L101" s="1"/>
      <c r="M101" s="1"/>
      <c r="N101" s="865"/>
      <c r="O101" s="1"/>
      <c r="P101" s="799"/>
      <c r="Q101" s="773"/>
      <c r="R101" s="773"/>
      <c r="S101" s="774" t="s">
        <v>383</v>
      </c>
      <c r="T101" s="773" t="str">
        <f>IF(AND(C13&gt;5000,C13&lt;=20000),"Y","N")</f>
        <v>N</v>
      </c>
      <c r="U101" s="773">
        <f>Variables!B145</f>
        <v>252</v>
      </c>
      <c r="V101" s="773">
        <f>Variables!B153</f>
        <v>515</v>
      </c>
      <c r="W101" s="773"/>
      <c r="X101" s="773"/>
      <c r="Y101" s="773"/>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1:78" hidden="1" x14ac:dyDescent="0.2">
      <c r="A102" s="2"/>
      <c r="B102" s="129"/>
      <c r="C102" s="4"/>
      <c r="D102" s="5"/>
      <c r="E102" s="6"/>
      <c r="F102" s="2"/>
      <c r="G102" s="2"/>
      <c r="H102" s="2"/>
      <c r="I102" s="10"/>
      <c r="J102" s="11"/>
      <c r="K102" s="1"/>
      <c r="L102" s="1"/>
      <c r="M102" s="1"/>
      <c r="N102" s="865"/>
      <c r="O102" s="1"/>
      <c r="P102" s="775" t="str">
        <f>IF(Q100="YES",Q86*Variables!B21,IF(Q101="YES",Q86,""))</f>
        <v/>
      </c>
      <c r="Q102" s="775"/>
      <c r="R102" s="775"/>
      <c r="S102" s="774" t="s">
        <v>384</v>
      </c>
      <c r="T102" s="773" t="str">
        <f>IF(AND(C13&gt;20000,C13&lt;=50000),"Y","N")</f>
        <v>N</v>
      </c>
      <c r="U102" s="773">
        <f>Variables!B146</f>
        <v>478</v>
      </c>
      <c r="V102" s="773">
        <f>Variables!B153</f>
        <v>515</v>
      </c>
      <c r="W102" s="775"/>
      <c r="X102" s="775"/>
      <c r="Y102" s="773"/>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1:78" hidden="1" x14ac:dyDescent="0.2">
      <c r="A103" s="2"/>
      <c r="B103" s="129">
        <f>B131</f>
        <v>0</v>
      </c>
      <c r="C103" s="4"/>
      <c r="D103" s="5"/>
      <c r="E103" s="6"/>
      <c r="F103" s="2"/>
      <c r="G103" s="2"/>
      <c r="H103" s="2"/>
      <c r="I103" s="10"/>
      <c r="J103" s="1"/>
      <c r="K103" s="1"/>
      <c r="L103" s="1"/>
      <c r="M103" s="1"/>
      <c r="N103" s="865"/>
      <c r="O103" s="1"/>
      <c r="P103" s="777" t="e">
        <f>R108</f>
        <v>#N/A</v>
      </c>
      <c r="Q103" s="775"/>
      <c r="R103" s="775"/>
      <c r="S103" s="774" t="s">
        <v>385</v>
      </c>
      <c r="T103" s="773" t="str">
        <f>IF(AND(C13&gt;50000,C13&lt;=100000),"Y","N")</f>
        <v>N</v>
      </c>
      <c r="U103" s="773">
        <f>Variables!B147</f>
        <v>682</v>
      </c>
      <c r="V103" s="773">
        <f>Variables!B153</f>
        <v>515</v>
      </c>
      <c r="W103" s="775"/>
      <c r="X103" s="775"/>
      <c r="Y103" s="773"/>
      <c r="Z103" s="1"/>
      <c r="AA103" s="1"/>
      <c r="AB103" s="1"/>
      <c r="AC103" s="1"/>
      <c r="AD103" s="1"/>
      <c r="AE103" s="1"/>
      <c r="AF103" s="1"/>
      <c r="AG103" s="1"/>
      <c r="AH103" s="1"/>
      <c r="AI103" s="1"/>
      <c r="AJ103" s="1"/>
      <c r="AK103" s="1"/>
      <c r="AL103" s="17"/>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1:78" hidden="1" x14ac:dyDescent="0.2">
      <c r="A104" s="2"/>
      <c r="B104" s="129" t="str">
        <f>IF(OR(C15=Variables!E13,C15=Variables!E5),1,"")</f>
        <v/>
      </c>
      <c r="C104" s="4"/>
      <c r="D104" s="5"/>
      <c r="E104" s="6"/>
      <c r="F104" s="2"/>
      <c r="G104" s="2"/>
      <c r="H104" s="2"/>
      <c r="I104" s="10"/>
      <c r="J104" s="1"/>
      <c r="K104" s="1"/>
      <c r="L104" s="1"/>
      <c r="M104" s="1"/>
      <c r="N104" s="865"/>
      <c r="O104" s="1"/>
      <c r="P104" s="775" t="str">
        <f>IF(C15=Variables!E11,Variables!B27,"")</f>
        <v/>
      </c>
      <c r="Q104" s="773" t="str">
        <f>IF(C15=Variables!E6,"Y","N")</f>
        <v>N</v>
      </c>
      <c r="R104" s="776">
        <f>U108</f>
        <v>252</v>
      </c>
      <c r="S104" s="774" t="s">
        <v>386</v>
      </c>
      <c r="T104" s="773" t="str">
        <f>IF(AND(C13&gt;100000,C13&lt;=250000),"Y","N")</f>
        <v>N</v>
      </c>
      <c r="U104" s="773">
        <f>Variables!B148</f>
        <v>893</v>
      </c>
      <c r="V104" s="773">
        <f>Variables!B154</f>
        <v>893</v>
      </c>
      <c r="W104" s="775"/>
      <c r="X104" s="775"/>
      <c r="Y104" s="773"/>
      <c r="Z104" s="1"/>
      <c r="AA104" s="47"/>
      <c r="AB104" s="47"/>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1:78" hidden="1" x14ac:dyDescent="0.2">
      <c r="A105" s="2"/>
      <c r="B105" s="129" t="str">
        <f>IF(AND(C15=Variables!E12,C34="Yes"),1,"")</f>
        <v/>
      </c>
      <c r="C105" s="4"/>
      <c r="D105" s="5"/>
      <c r="E105" s="6"/>
      <c r="F105" s="2"/>
      <c r="G105" s="2"/>
      <c r="H105" s="2"/>
      <c r="I105" s="10"/>
      <c r="J105" s="1"/>
      <c r="K105" s="1"/>
      <c r="L105" s="1"/>
      <c r="M105" s="1"/>
      <c r="N105" s="865"/>
      <c r="O105" s="1"/>
      <c r="P105" s="775" t="str">
        <f>IF(OR(C15=Variables!E14,C15=Variables!E17, C15=Variables!E16),Variables!B51,"")</f>
        <v/>
      </c>
      <c r="Q105" s="773" t="str">
        <f>IF(C15=Variables!E7,"Y","N")</f>
        <v>N</v>
      </c>
      <c r="R105" s="776">
        <f>V108</f>
        <v>515</v>
      </c>
      <c r="S105" s="774" t="s">
        <v>393</v>
      </c>
      <c r="T105" s="773" t="str">
        <f>IF(AND(C13&gt;250000,C13&lt;=400000),"Y","N")</f>
        <v>N</v>
      </c>
      <c r="U105" s="773">
        <f>Variables!B149</f>
        <v>1029</v>
      </c>
      <c r="V105" s="776" t="e">
        <f>Q95</f>
        <v>#N/A</v>
      </c>
      <c r="W105" s="775">
        <f>IF(Q43="#N/A",0,ROUND(Q43,1))</f>
        <v>110</v>
      </c>
      <c r="X105" s="775"/>
      <c r="Y105" s="773"/>
      <c r="Z105" s="1"/>
      <c r="AA105" s="42"/>
      <c r="AB105" s="47"/>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1:78" hidden="1" x14ac:dyDescent="0.2">
      <c r="A106" s="2"/>
      <c r="B106" s="129">
        <f>SUM(B103:B105)</f>
        <v>0</v>
      </c>
      <c r="C106" s="4"/>
      <c r="D106" s="5"/>
      <c r="E106" s="6"/>
      <c r="F106" s="2"/>
      <c r="G106" s="2"/>
      <c r="H106" s="2"/>
      <c r="I106" s="10"/>
      <c r="J106" s="1"/>
      <c r="K106" s="1"/>
      <c r="L106" s="1"/>
      <c r="M106" s="1"/>
      <c r="N106" s="865">
        <f>IF(C15=Variables!E12,1,0)</f>
        <v>0</v>
      </c>
      <c r="O106" s="1"/>
      <c r="P106" s="775" t="str">
        <f>IF(OR(C15=Variables!E12,C15=Variables!E9,C15=Variables!E13, C15=Variables!E10),Q43,"")</f>
        <v/>
      </c>
      <c r="Q106" s="773" t="str">
        <f>IF(AND(C31="Yes",C15=Variables!E12),"Y","N")</f>
        <v>N</v>
      </c>
      <c r="R106" s="773">
        <f>V108</f>
        <v>515</v>
      </c>
      <c r="S106" s="774" t="s">
        <v>394</v>
      </c>
      <c r="T106" s="773" t="str">
        <f>IF(AND(C13&gt;400000,C13&lt;=500000),"Y","N")</f>
        <v>N</v>
      </c>
      <c r="U106" s="773">
        <f>Variables!B150</f>
        <v>1208</v>
      </c>
      <c r="V106" s="776" t="e">
        <f>Q95</f>
        <v>#N/A</v>
      </c>
      <c r="W106" s="775"/>
      <c r="X106" s="775"/>
      <c r="Y106" s="773"/>
      <c r="Z106" s="1"/>
      <c r="AA106" s="47"/>
      <c r="AB106" s="47"/>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idden="1" x14ac:dyDescent="0.2">
      <c r="A107" s="2"/>
      <c r="B107" s="129" t="str">
        <f>IF(C13&lt;&gt;"",B106,"")</f>
        <v/>
      </c>
      <c r="C107" s="4"/>
      <c r="D107" s="5"/>
      <c r="E107" s="6"/>
      <c r="F107" s="2"/>
      <c r="G107" s="2"/>
      <c r="H107" s="2"/>
      <c r="I107" s="10"/>
      <c r="J107" s="1"/>
      <c r="K107" s="1"/>
      <c r="L107" s="1"/>
      <c r="M107" s="1"/>
      <c r="N107" s="865">
        <f>IF(C15=Variables!E3,1,0)</f>
        <v>0</v>
      </c>
      <c r="O107" s="1"/>
      <c r="P107" s="775" t="str">
        <f>IF(AND(C15=Variables!E16,Q43&gt;Variables!B24+(Variables!B25*F25)),Q43,"")</f>
        <v/>
      </c>
      <c r="Q107" s="773" t="str">
        <f>IF(AND(C31="Yes",C15&lt;&gt;Variables!E12),"Y","N")</f>
        <v>N</v>
      </c>
      <c r="R107" s="773">
        <f>U108</f>
        <v>252</v>
      </c>
      <c r="S107" s="774" t="s">
        <v>395</v>
      </c>
      <c r="T107" s="773" t="str">
        <f>IF(C13&gt;500000,"Y","N")</f>
        <v>N</v>
      </c>
      <c r="U107" s="776">
        <f>Q86</f>
        <v>239</v>
      </c>
      <c r="V107" s="776" t="e">
        <f>Q95</f>
        <v>#N/A</v>
      </c>
      <c r="W107" s="775"/>
      <c r="X107" s="775"/>
      <c r="Y107" s="773"/>
      <c r="Z107" s="1"/>
      <c r="AA107" s="47"/>
      <c r="AB107" s="47"/>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1:78" hidden="1" x14ac:dyDescent="0.2">
      <c r="A108" s="2"/>
      <c r="B108" s="129"/>
      <c r="C108" s="4"/>
      <c r="D108" s="5"/>
      <c r="E108" s="6"/>
      <c r="F108" s="2"/>
      <c r="G108" s="2"/>
      <c r="H108" s="2"/>
      <c r="I108" s="10"/>
      <c r="J108" s="1"/>
      <c r="K108" s="1"/>
      <c r="L108" s="1"/>
      <c r="M108" s="1"/>
      <c r="N108" s="865">
        <f>SUM(N106:N107)</f>
        <v>0</v>
      </c>
      <c r="O108" s="1"/>
      <c r="P108" s="775" t="str">
        <f>IF(AND(C15=Variables!E16,Q43&lt;Variables!B24+(Variables!B25*C25)),Variables!B24+(Variables!B25*C25),"")</f>
        <v/>
      </c>
      <c r="Q108" s="773"/>
      <c r="R108" s="773" t="e">
        <f>VLOOKUP("Y",Q104:R107,2,0)</f>
        <v>#N/A</v>
      </c>
      <c r="S108" s="773"/>
      <c r="T108" s="773"/>
      <c r="U108" s="773">
        <f>VLOOKUP("Y",T100:U107,2,0)</f>
        <v>252</v>
      </c>
      <c r="V108" s="773">
        <f>VLOOKUP("Y",T100:V107,3,0)</f>
        <v>515</v>
      </c>
      <c r="W108" s="775"/>
      <c r="X108" s="775"/>
      <c r="Y108" s="773"/>
      <c r="Z108" s="1"/>
      <c r="AA108" s="47"/>
      <c r="AB108" s="47"/>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1:78" hidden="1" x14ac:dyDescent="0.2">
      <c r="A109" s="2"/>
      <c r="B109" s="129"/>
      <c r="C109" s="4"/>
      <c r="D109" s="5"/>
      <c r="E109" s="6"/>
      <c r="F109" s="2"/>
      <c r="G109" s="2"/>
      <c r="H109" s="2"/>
      <c r="I109" s="10"/>
      <c r="J109" s="1"/>
      <c r="K109" s="1"/>
      <c r="L109" s="1"/>
      <c r="M109" s="1"/>
      <c r="N109" s="69"/>
      <c r="O109" s="1"/>
      <c r="P109" s="856">
        <f>SUM(P107:P108)</f>
        <v>0</v>
      </c>
      <c r="Q109" s="775"/>
      <c r="R109" s="775"/>
      <c r="S109" s="775"/>
      <c r="T109" s="775"/>
      <c r="U109" s="775"/>
      <c r="V109" s="775"/>
      <c r="W109" s="775"/>
      <c r="X109" s="775"/>
      <c r="Y109" s="773"/>
      <c r="Z109" s="1"/>
      <c r="AA109" s="47"/>
      <c r="AB109" s="47"/>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1:78" hidden="1" x14ac:dyDescent="0.2">
      <c r="A110" s="2"/>
      <c r="B110" s="129"/>
      <c r="C110" s="4"/>
      <c r="D110" s="5"/>
      <c r="E110" s="6"/>
      <c r="F110" s="2"/>
      <c r="G110" s="2"/>
      <c r="H110" s="2"/>
      <c r="I110" s="10"/>
      <c r="J110" s="1"/>
      <c r="K110" s="1"/>
      <c r="L110" s="1"/>
      <c r="M110" s="1"/>
      <c r="N110" s="69"/>
      <c r="O110" s="1"/>
      <c r="P110" s="54"/>
      <c r="Q110" s="53"/>
      <c r="R110" s="53"/>
      <c r="S110" s="53"/>
      <c r="T110" s="53"/>
      <c r="U110" s="53"/>
      <c r="V110" s="53"/>
      <c r="W110" s="53"/>
      <c r="X110" s="53"/>
      <c r="Y110" s="1"/>
      <c r="Z110" s="1"/>
      <c r="AA110" s="11"/>
      <c r="AB110" s="47"/>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1:78" hidden="1" x14ac:dyDescent="0.2">
      <c r="A111" s="2"/>
      <c r="B111" s="129"/>
      <c r="C111" s="4"/>
      <c r="D111" s="5"/>
      <c r="E111" s="6"/>
      <c r="F111" s="2"/>
      <c r="G111" s="2"/>
      <c r="H111" s="2"/>
      <c r="I111" s="10"/>
      <c r="J111" s="1"/>
      <c r="K111" s="1"/>
      <c r="L111" s="1"/>
      <c r="M111" s="1"/>
      <c r="N111" s="69"/>
      <c r="O111" s="1"/>
      <c r="P111" s="53"/>
      <c r="Q111" s="53"/>
      <c r="R111" s="53"/>
      <c r="S111" s="53"/>
      <c r="T111" s="53"/>
      <c r="U111" s="53"/>
      <c r="V111" s="53"/>
      <c r="W111" s="53"/>
      <c r="X111" s="53"/>
      <c r="Y111" s="1"/>
      <c r="Z111" s="1"/>
      <c r="AA111" s="11"/>
      <c r="AB111" s="47"/>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idden="1" x14ac:dyDescent="0.2">
      <c r="A112" s="2"/>
      <c r="B112" s="129"/>
      <c r="C112" s="4"/>
      <c r="D112" s="5"/>
      <c r="E112" s="6"/>
      <c r="F112" s="2"/>
      <c r="G112" s="2"/>
      <c r="H112" s="2"/>
      <c r="I112" s="10"/>
      <c r="J112" s="1"/>
      <c r="K112" s="1"/>
      <c r="L112" s="1"/>
      <c r="M112" s="17"/>
      <c r="N112" s="68"/>
      <c r="O112" s="1"/>
      <c r="P112" s="53"/>
      <c r="Q112" s="53"/>
      <c r="R112" s="53"/>
      <c r="S112" s="53"/>
      <c r="T112" s="53"/>
      <c r="U112" s="53"/>
      <c r="V112" s="53"/>
      <c r="W112" s="53"/>
      <c r="X112" s="53"/>
      <c r="Y112" s="1"/>
      <c r="Z112" s="1"/>
      <c r="AA112" s="42"/>
      <c r="AB112" s="47"/>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idden="1" x14ac:dyDescent="0.2">
      <c r="A113" s="2"/>
      <c r="B113" s="129"/>
      <c r="C113" s="4"/>
      <c r="D113" s="5"/>
      <c r="E113" s="6"/>
      <c r="F113" s="2"/>
      <c r="G113" s="2"/>
      <c r="H113" s="2"/>
      <c r="I113" s="10"/>
      <c r="J113" s="1"/>
      <c r="K113" s="1"/>
      <c r="L113" s="1"/>
      <c r="M113" s="17"/>
      <c r="N113" s="69"/>
      <c r="O113" s="1"/>
      <c r="P113" s="53"/>
      <c r="Q113" s="53"/>
      <c r="R113" s="53"/>
      <c r="S113" s="53"/>
      <c r="T113" s="53"/>
      <c r="U113" s="53"/>
      <c r="V113" s="53"/>
      <c r="W113" s="53"/>
      <c r="X113" s="53"/>
      <c r="Y113" s="1"/>
      <c r="Z113" s="1"/>
      <c r="AA113" s="42"/>
      <c r="AB113" s="47"/>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idden="1" x14ac:dyDescent="0.2">
      <c r="A114" s="2"/>
      <c r="B114" s="129">
        <f>IF(C15=Variables!E2,2,0)</f>
        <v>0</v>
      </c>
      <c r="C114" s="4"/>
      <c r="D114" s="5"/>
      <c r="E114" s="6"/>
      <c r="F114" s="2"/>
      <c r="G114" s="2"/>
      <c r="H114" s="2"/>
      <c r="I114" s="10"/>
      <c r="J114" s="1"/>
      <c r="K114" s="1"/>
      <c r="L114" s="1"/>
      <c r="M114" s="17"/>
      <c r="N114" s="69"/>
      <c r="O114" s="1"/>
      <c r="P114" s="54"/>
      <c r="Q114" s="53"/>
      <c r="R114" s="53"/>
      <c r="S114" s="862" t="s">
        <v>1647</v>
      </c>
      <c r="T114" s="860"/>
      <c r="U114" s="860"/>
      <c r="V114" s="53"/>
      <c r="W114" s="53"/>
      <c r="X114" s="53"/>
      <c r="Y114" s="1"/>
      <c r="Z114" s="1"/>
      <c r="AA114" s="47"/>
      <c r="AB114" s="47"/>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idden="1" x14ac:dyDescent="0.2">
      <c r="A115" s="2"/>
      <c r="B115" s="139">
        <f>IF(C15=Variables!E3,1,0)</f>
        <v>0</v>
      </c>
      <c r="C115" s="4"/>
      <c r="D115" s="5"/>
      <c r="E115" s="6"/>
      <c r="F115" s="2"/>
      <c r="G115" s="2"/>
      <c r="H115" s="2"/>
      <c r="I115" s="10"/>
      <c r="J115" s="1"/>
      <c r="K115" s="1"/>
      <c r="L115" s="17"/>
      <c r="M115" s="17"/>
      <c r="N115" s="69"/>
      <c r="O115" s="55"/>
      <c r="P115" s="53"/>
      <c r="Q115" s="53"/>
      <c r="R115" s="53"/>
      <c r="S115" s="861" t="str">
        <f>IF(C23="Yes - with no New Roads",Variables!B42+(Variables!B43*I23),"")</f>
        <v/>
      </c>
      <c r="T115" s="860"/>
      <c r="U115" s="860"/>
      <c r="V115" s="53"/>
      <c r="W115" s="53"/>
      <c r="X115" s="53"/>
      <c r="Y115" s="1"/>
      <c r="Z115" s="1"/>
      <c r="AA115" s="42"/>
      <c r="AB115" s="47"/>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idden="1" x14ac:dyDescent="0.2">
      <c r="A116" s="2"/>
      <c r="B116" s="139">
        <f>IF(C15=Variables!E4,0,0)</f>
        <v>0</v>
      </c>
      <c r="C116" s="4"/>
      <c r="D116" s="5"/>
      <c r="E116" s="6"/>
      <c r="F116" s="2"/>
      <c r="G116" s="2"/>
      <c r="H116" s="2"/>
      <c r="I116" s="10"/>
      <c r="J116" s="1"/>
      <c r="K116" s="1"/>
      <c r="L116" s="17"/>
      <c r="M116" s="1"/>
      <c r="N116" s="69"/>
      <c r="O116" s="1"/>
      <c r="P116" s="53"/>
      <c r="Q116" s="53"/>
      <c r="R116" s="53"/>
      <c r="S116" s="861" t="str">
        <f>IF(C23="Yes - with New Roads",Variables!B40+(Variables!B41*I23),"")</f>
        <v/>
      </c>
      <c r="T116" s="860"/>
      <c r="U116" s="860"/>
      <c r="V116" s="53"/>
      <c r="W116" s="53"/>
      <c r="X116" s="53"/>
      <c r="Y116" s="1"/>
      <c r="Z116" s="1"/>
      <c r="AA116" s="47"/>
      <c r="AB116" s="47"/>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idden="1" x14ac:dyDescent="0.2">
      <c r="A117" s="2"/>
      <c r="B117" s="139">
        <f>IF(C15=Variables!E5,0,0)</f>
        <v>0</v>
      </c>
      <c r="C117" s="4"/>
      <c r="D117" s="5"/>
      <c r="E117" s="6"/>
      <c r="F117" s="2"/>
      <c r="G117" s="2"/>
      <c r="H117" s="2"/>
      <c r="I117" s="10"/>
      <c r="J117" s="1"/>
      <c r="K117" s="1"/>
      <c r="L117" s="17"/>
      <c r="M117" s="1"/>
      <c r="N117" s="69"/>
      <c r="O117" s="55"/>
      <c r="P117" s="53"/>
      <c r="Q117" s="53"/>
      <c r="R117" s="53"/>
      <c r="S117" s="861"/>
      <c r="T117" s="861" t="str">
        <f>IF(C23=Variables!H3,Variables!B42+(Variables!B43*I23),"")</f>
        <v/>
      </c>
      <c r="U117" s="860"/>
      <c r="V117" s="53"/>
      <c r="W117" s="53"/>
      <c r="X117" s="53"/>
      <c r="Y117" s="1"/>
      <c r="Z117" s="1"/>
      <c r="AA117" s="47"/>
      <c r="AB117" s="47"/>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idden="1" x14ac:dyDescent="0.2">
      <c r="A118" s="2"/>
      <c r="B118" s="139">
        <f>IF(C15=Variables!E6,2,0)</f>
        <v>0</v>
      </c>
      <c r="C118" s="4"/>
      <c r="D118" s="5"/>
      <c r="E118" s="6"/>
      <c r="F118" s="2"/>
      <c r="G118" s="2"/>
      <c r="H118" s="2"/>
      <c r="I118" s="10"/>
      <c r="J118" s="1"/>
      <c r="K118" s="1"/>
      <c r="L118" s="1"/>
      <c r="M118" s="1"/>
      <c r="N118" s="69"/>
      <c r="O118" s="55"/>
      <c r="P118" s="56"/>
      <c r="Q118" s="53"/>
      <c r="R118" s="53"/>
      <c r="S118" s="860"/>
      <c r="T118" s="861" t="str">
        <f>IF(C23=Variables!H4,Variables!B40+(Variables!B41*I23),"")</f>
        <v/>
      </c>
      <c r="U118" s="860"/>
      <c r="V118" s="53"/>
      <c r="W118" s="53"/>
      <c r="X118" s="53"/>
      <c r="Y118" s="1"/>
      <c r="Z118" s="1"/>
      <c r="AA118" s="11"/>
      <c r="AB118" s="1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idden="1" x14ac:dyDescent="0.2">
      <c r="A119" s="2"/>
      <c r="B119" s="139">
        <f>IF(C15=Variables!E7,1,0)</f>
        <v>0</v>
      </c>
      <c r="C119" s="4"/>
      <c r="D119" s="5"/>
      <c r="E119" s="6"/>
      <c r="F119" s="2"/>
      <c r="G119" s="2"/>
      <c r="H119" s="2"/>
      <c r="I119" s="10"/>
      <c r="J119" s="1"/>
      <c r="K119" s="1"/>
      <c r="L119" s="1"/>
      <c r="M119" s="1"/>
      <c r="N119" s="69"/>
      <c r="O119" s="1"/>
      <c r="P119" s="56"/>
      <c r="Q119" s="53"/>
      <c r="R119" s="53"/>
      <c r="S119" s="860"/>
      <c r="T119" s="861" t="str">
        <f>IF(C23=Variables!H5,Variables!B44+(Variables!B45*I23),"")</f>
        <v/>
      </c>
      <c r="U119" s="860"/>
      <c r="V119" s="53"/>
      <c r="W119" s="53"/>
      <c r="X119" s="53"/>
      <c r="Y119" s="1"/>
      <c r="Z119" s="1"/>
      <c r="AA119" s="1"/>
      <c r="AB119" s="17"/>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idden="1" x14ac:dyDescent="0.2">
      <c r="A120" s="2"/>
      <c r="B120" s="139">
        <f>IF(AND(C15=Variables!E8,C31="Yes"),2,0)</f>
        <v>0</v>
      </c>
      <c r="C120" s="4"/>
      <c r="D120" s="5"/>
      <c r="E120" s="6"/>
      <c r="F120" s="2"/>
      <c r="G120" s="2"/>
      <c r="H120" s="2"/>
      <c r="I120" s="10"/>
      <c r="J120" s="1"/>
      <c r="K120" s="1"/>
      <c r="L120" s="1"/>
      <c r="M120" s="1"/>
      <c r="N120" s="69"/>
      <c r="O120" s="57"/>
      <c r="P120" s="56"/>
      <c r="Q120" s="53"/>
      <c r="R120" s="53"/>
      <c r="S120" s="860">
        <f>SUM($S$115:$S$119)</f>
        <v>0</v>
      </c>
      <c r="T120" s="860">
        <f>SUM($T$117:$T$119)</f>
        <v>0</v>
      </c>
      <c r="U120" s="860">
        <f>SUM(S120:T120)</f>
        <v>0</v>
      </c>
      <c r="V120" s="53"/>
      <c r="W120" s="53"/>
      <c r="X120" s="53"/>
      <c r="Y120" s="1"/>
      <c r="Z120" s="1"/>
      <c r="AA120" s="1"/>
      <c r="AB120" s="17"/>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idden="1" x14ac:dyDescent="0.2">
      <c r="A121" s="2"/>
      <c r="B121" s="139">
        <f>IF(C15=Variables!E9,2,0)</f>
        <v>0</v>
      </c>
      <c r="C121" s="4"/>
      <c r="D121" s="5"/>
      <c r="E121" s="6"/>
      <c r="F121" s="2"/>
      <c r="G121" s="2"/>
      <c r="H121" s="2"/>
      <c r="I121" s="10"/>
      <c r="J121" s="1"/>
      <c r="K121" s="1"/>
      <c r="L121" s="1"/>
      <c r="M121" s="1"/>
      <c r="N121" s="69"/>
      <c r="O121" s="1"/>
      <c r="P121" s="56" t="str">
        <f>IF(P120&lt;&gt;0,P120,"")</f>
        <v/>
      </c>
      <c r="Q121" s="53"/>
      <c r="R121" s="53"/>
      <c r="S121" s="53"/>
      <c r="T121" s="53"/>
      <c r="U121" s="53"/>
      <c r="V121" s="53"/>
      <c r="W121" s="53"/>
      <c r="X121" s="53"/>
      <c r="Y121" s="1"/>
      <c r="Z121" s="1"/>
      <c r="AA121" s="1"/>
      <c r="AB121" s="17"/>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idden="1" x14ac:dyDescent="0.2">
      <c r="A122" s="2"/>
      <c r="B122" s="139">
        <f>IF(C15=Variables!E10,2,0)</f>
        <v>0</v>
      </c>
      <c r="C122" s="4"/>
      <c r="D122" s="5"/>
      <c r="E122" s="6"/>
      <c r="F122" s="2"/>
      <c r="G122" s="2"/>
      <c r="H122" s="2"/>
      <c r="I122" s="10"/>
      <c r="J122" s="1"/>
      <c r="K122" s="1"/>
      <c r="L122" s="1"/>
      <c r="M122" s="1"/>
      <c r="N122" s="69"/>
      <c r="O122" s="1"/>
      <c r="P122" s="1"/>
      <c r="Q122" s="1"/>
      <c r="R122" s="1"/>
      <c r="S122" s="1"/>
      <c r="T122" s="1"/>
      <c r="U122" s="1"/>
      <c r="V122" s="1"/>
      <c r="W122" s="1"/>
      <c r="X122" s="1"/>
      <c r="Y122" s="1"/>
      <c r="Z122" s="1"/>
      <c r="AA122" s="1"/>
      <c r="AB122" s="17"/>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idden="1" x14ac:dyDescent="0.2">
      <c r="A123" s="2"/>
      <c r="B123" s="139">
        <f>IF(C15=Variables!E11,2,0)</f>
        <v>0</v>
      </c>
      <c r="C123" s="4"/>
      <c r="D123" s="5"/>
      <c r="E123" s="6"/>
      <c r="F123" s="2"/>
      <c r="G123" s="2"/>
      <c r="H123" s="2"/>
      <c r="I123" s="10"/>
      <c r="J123" s="1"/>
      <c r="K123" s="1"/>
      <c r="L123" s="1"/>
      <c r="M123" s="1"/>
      <c r="N123" s="69"/>
      <c r="O123" s="1"/>
      <c r="P123" s="1"/>
      <c r="Q123" s="1"/>
      <c r="R123" s="1"/>
      <c r="S123" s="1"/>
      <c r="T123" s="1"/>
      <c r="U123" s="1"/>
      <c r="V123" s="1"/>
      <c r="W123" s="1"/>
      <c r="X123" s="1"/>
      <c r="Y123" s="1"/>
      <c r="Z123" s="1"/>
      <c r="AA123" s="851"/>
      <c r="AB123" s="17"/>
      <c r="AC123" s="851"/>
      <c r="AD123" s="851"/>
      <c r="AE123" s="851"/>
      <c r="AF123" s="851"/>
      <c r="AG123" s="851"/>
      <c r="AH123" s="851"/>
      <c r="AI123" s="851"/>
      <c r="AJ123" s="851"/>
      <c r="AK123" s="85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idden="1" x14ac:dyDescent="0.2">
      <c r="A124" s="2"/>
      <c r="B124" s="139">
        <f>IF(C15=Variables!E12,0,0)</f>
        <v>0</v>
      </c>
      <c r="C124" s="4"/>
      <c r="D124" s="5"/>
      <c r="E124" s="6"/>
      <c r="F124" s="2"/>
      <c r="G124" s="2"/>
      <c r="H124" s="2"/>
      <c r="I124" s="10"/>
      <c r="J124" s="1"/>
      <c r="K124" s="1"/>
      <c r="L124" s="1"/>
      <c r="M124" s="1"/>
      <c r="N124" s="69"/>
      <c r="O124" s="1"/>
      <c r="P124" s="1"/>
      <c r="Q124" s="1"/>
      <c r="R124" s="1"/>
      <c r="S124" s="1"/>
      <c r="T124" s="1"/>
      <c r="U124" s="1"/>
      <c r="V124" s="1"/>
      <c r="W124" s="1"/>
      <c r="X124" s="1"/>
      <c r="Y124" s="1"/>
      <c r="Z124" s="1"/>
      <c r="AA124" s="851"/>
      <c r="AB124" s="17"/>
      <c r="AC124" s="851"/>
      <c r="AD124" s="851"/>
      <c r="AE124" s="851"/>
      <c r="AF124" s="851"/>
      <c r="AG124" s="851"/>
      <c r="AH124" s="851"/>
      <c r="AI124" s="851"/>
      <c r="AJ124" s="851"/>
      <c r="AK124" s="85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idden="1" x14ac:dyDescent="0.2">
      <c r="A125" s="2"/>
      <c r="B125" s="139">
        <f>IF(C15=Variables!E13,0,0)</f>
        <v>0</v>
      </c>
      <c r="C125" s="4"/>
      <c r="D125" s="5"/>
      <c r="E125" s="6"/>
      <c r="F125" s="2"/>
      <c r="G125" s="2"/>
      <c r="H125" s="2"/>
      <c r="I125" s="10"/>
      <c r="J125" s="1"/>
      <c r="K125" s="1"/>
      <c r="L125" s="1"/>
      <c r="M125" s="1"/>
      <c r="N125" s="69"/>
      <c r="O125" s="1"/>
      <c r="P125" s="1"/>
      <c r="Q125" s="1"/>
      <c r="R125" s="1"/>
      <c r="S125" s="1"/>
      <c r="T125" s="1"/>
      <c r="U125" s="1"/>
      <c r="V125" s="1"/>
      <c r="W125" s="1"/>
      <c r="X125" s="1"/>
      <c r="Y125" s="1"/>
      <c r="Z125" s="1"/>
      <c r="AA125" s="851"/>
      <c r="AB125" s="17"/>
      <c r="AC125" s="851"/>
      <c r="AD125" s="851"/>
      <c r="AE125" s="851"/>
      <c r="AF125" s="851"/>
      <c r="AG125" s="851"/>
      <c r="AH125" s="851"/>
      <c r="AI125" s="851"/>
      <c r="AJ125" s="851"/>
      <c r="AK125" s="85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idden="1" x14ac:dyDescent="0.2">
      <c r="A126" s="2"/>
      <c r="B126" s="139">
        <f>IF(C15=Variables!E14,0,0)</f>
        <v>0</v>
      </c>
      <c r="C126" s="4"/>
      <c r="D126" s="5"/>
      <c r="E126" s="6"/>
      <c r="F126" s="2"/>
      <c r="G126" s="2"/>
      <c r="H126" s="2"/>
      <c r="I126" s="10"/>
      <c r="J126" s="1"/>
      <c r="K126" s="1"/>
      <c r="L126" s="47"/>
      <c r="M126" s="1"/>
      <c r="N126" s="69"/>
      <c r="O126" s="1"/>
      <c r="P126" s="855" t="s">
        <v>1646</v>
      </c>
      <c r="Q126" s="854"/>
      <c r="R126" s="1"/>
      <c r="S126" s="1"/>
      <c r="T126" s="1"/>
      <c r="U126" s="1"/>
      <c r="V126" s="1"/>
      <c r="W126" s="1"/>
      <c r="X126" s="1"/>
      <c r="Y126" s="1"/>
      <c r="Z126" s="1"/>
      <c r="AA126" s="851"/>
      <c r="AB126" s="17"/>
      <c r="AC126" s="851"/>
      <c r="AD126" s="851"/>
      <c r="AE126" s="851"/>
      <c r="AF126" s="851"/>
      <c r="AG126" s="851"/>
      <c r="AH126" s="851"/>
      <c r="AI126" s="851"/>
      <c r="AJ126" s="851"/>
      <c r="AK126" s="85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idden="1" x14ac:dyDescent="0.2">
      <c r="A127" s="2"/>
      <c r="B127" s="139">
        <f>IF(C15=Variables!E15,0,0)</f>
        <v>0</v>
      </c>
      <c r="C127" s="4"/>
      <c r="D127" s="5"/>
      <c r="E127" s="6"/>
      <c r="F127" s="2"/>
      <c r="G127" s="2"/>
      <c r="H127" s="2"/>
      <c r="I127" s="10"/>
      <c r="J127" s="1"/>
      <c r="K127" s="1"/>
      <c r="L127" s="42"/>
      <c r="M127" s="1"/>
      <c r="N127" s="42"/>
      <c r="O127" s="1"/>
      <c r="P127" s="809" t="str">
        <f>IF(C15=Variables!E8,"Y","N")</f>
        <v>N</v>
      </c>
      <c r="Q127" s="810">
        <f>Q44</f>
        <v>110</v>
      </c>
      <c r="R127" s="1"/>
      <c r="S127" s="1"/>
      <c r="T127" s="1"/>
      <c r="U127" s="1"/>
      <c r="V127" s="1"/>
      <c r="W127" s="1"/>
      <c r="X127" s="1"/>
      <c r="Y127" s="1"/>
      <c r="Z127" s="1"/>
      <c r="AA127" s="851"/>
      <c r="AB127" s="17"/>
      <c r="AC127" s="851"/>
      <c r="AD127" s="851"/>
      <c r="AE127" s="851"/>
      <c r="AF127" s="851"/>
      <c r="AG127" s="851"/>
      <c r="AH127" s="851"/>
      <c r="AI127" s="851"/>
      <c r="AJ127" s="851"/>
      <c r="AK127" s="85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idden="1" x14ac:dyDescent="0.2">
      <c r="A128" s="2"/>
      <c r="B128" s="139">
        <f>IF(C15=Variables!E16,0,0)</f>
        <v>0</v>
      </c>
      <c r="C128" s="4"/>
      <c r="D128" s="5"/>
      <c r="E128" s="6"/>
      <c r="F128" s="2"/>
      <c r="G128" s="2"/>
      <c r="H128" s="2"/>
      <c r="I128" s="10"/>
      <c r="J128" s="1"/>
      <c r="K128" s="1"/>
      <c r="L128" s="47"/>
      <c r="M128" s="1"/>
      <c r="N128" s="42"/>
      <c r="O128" s="1"/>
      <c r="P128" s="809" t="str">
        <f>IF(C15=Variables!E9,"Y","N")</f>
        <v>N</v>
      </c>
      <c r="Q128" s="810">
        <f t="shared" ref="Q128" si="3">Q44</f>
        <v>110</v>
      </c>
      <c r="R128" s="1"/>
      <c r="S128" s="1"/>
      <c r="T128" s="1"/>
      <c r="U128" s="1"/>
      <c r="V128" s="1"/>
      <c r="W128" s="1"/>
      <c r="X128" s="1"/>
      <c r="Y128" s="1"/>
      <c r="Z128" s="1"/>
      <c r="AA128" s="851" t="s">
        <v>18</v>
      </c>
      <c r="AB128" s="17"/>
      <c r="AC128" s="851"/>
      <c r="AD128" s="851"/>
      <c r="AE128" s="851"/>
      <c r="AF128" s="851"/>
      <c r="AG128" s="851"/>
      <c r="AH128" s="851"/>
      <c r="AI128" s="851"/>
      <c r="AJ128" s="851"/>
      <c r="AK128" s="85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idden="1" x14ac:dyDescent="0.2">
      <c r="A129" s="2"/>
      <c r="B129" s="139">
        <f>IF(C15=Variables!E17,0,0)</f>
        <v>0</v>
      </c>
      <c r="C129" s="4"/>
      <c r="D129" s="5"/>
      <c r="E129" s="6"/>
      <c r="F129" s="2"/>
      <c r="G129" s="2"/>
      <c r="H129" s="2"/>
      <c r="I129" s="10"/>
      <c r="J129" s="1"/>
      <c r="K129" s="1"/>
      <c r="L129" s="42"/>
      <c r="M129" s="1"/>
      <c r="N129" s="42"/>
      <c r="O129" s="1"/>
      <c r="P129" s="809" t="str">
        <f>IF(C15=Variables!E10,"Y","N")</f>
        <v>N</v>
      </c>
      <c r="Q129" s="810">
        <f>Variables!B27</f>
        <v>455</v>
      </c>
      <c r="R129" s="1"/>
      <c r="S129" s="1"/>
      <c r="T129" s="1"/>
      <c r="U129" s="1"/>
      <c r="V129" s="1"/>
      <c r="W129" s="1"/>
      <c r="X129" s="1"/>
      <c r="Y129" s="1"/>
      <c r="Z129" s="1"/>
      <c r="AA129" s="851"/>
      <c r="AB129" s="17"/>
      <c r="AC129" s="851"/>
      <c r="AD129" s="851"/>
      <c r="AE129" s="851"/>
      <c r="AF129" s="851"/>
      <c r="AG129" s="851"/>
      <c r="AH129" s="851"/>
      <c r="AI129" s="851"/>
      <c r="AJ129" s="851"/>
      <c r="AK129" s="85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idden="1" x14ac:dyDescent="0.2">
      <c r="A130" s="2"/>
      <c r="B130" s="139">
        <f>IF(C15=Variables!E18,0,0)</f>
        <v>0</v>
      </c>
      <c r="C130" s="4"/>
      <c r="D130" s="5"/>
      <c r="E130" s="6"/>
      <c r="F130" s="2"/>
      <c r="G130" s="2"/>
      <c r="H130" s="2"/>
      <c r="I130" s="10"/>
      <c r="J130" s="1"/>
      <c r="K130" s="1"/>
      <c r="L130" s="1"/>
      <c r="M130" s="1"/>
      <c r="N130" s="42"/>
      <c r="O130" s="1"/>
      <c r="P130" s="809" t="str">
        <f>IF(C15=Variables!E11,"Y","N")</f>
        <v>N</v>
      </c>
      <c r="Q130" s="810">
        <f>Q44</f>
        <v>110</v>
      </c>
      <c r="R130" s="1"/>
      <c r="S130" s="1"/>
      <c r="T130" s="1"/>
      <c r="U130" s="1"/>
      <c r="V130" s="1"/>
      <c r="W130" s="1"/>
      <c r="X130" s="1"/>
      <c r="Y130" s="1"/>
      <c r="Z130" s="1"/>
      <c r="AA130" s="1"/>
      <c r="AB130" s="17"/>
      <c r="AC130" s="17"/>
      <c r="AD130" s="17"/>
      <c r="AE130" s="17"/>
      <c r="AF130" s="17"/>
      <c r="AG130" s="17"/>
      <c r="AH130" s="17"/>
      <c r="AI130" s="17"/>
      <c r="AJ130" s="17"/>
      <c r="AK130" s="17"/>
      <c r="AL130" s="17"/>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idden="1" x14ac:dyDescent="0.2">
      <c r="A131" s="2"/>
      <c r="B131" s="129">
        <f>SUM(B114:B130)</f>
        <v>0</v>
      </c>
      <c r="C131" s="4"/>
      <c r="D131" s="5"/>
      <c r="E131" s="6"/>
      <c r="F131" s="2"/>
      <c r="G131" s="2"/>
      <c r="H131" s="2"/>
      <c r="I131" s="10"/>
      <c r="J131" s="1"/>
      <c r="K131" s="1"/>
      <c r="L131" s="1"/>
      <c r="M131" s="1"/>
      <c r="N131" s="42"/>
      <c r="O131" s="1"/>
      <c r="P131" s="809" t="str">
        <f>IF(C15=Variables!E12,"Y","N")</f>
        <v>N</v>
      </c>
      <c r="Q131" s="810">
        <f>Q44</f>
        <v>110</v>
      </c>
      <c r="R131" s="1"/>
      <c r="S131" s="1"/>
      <c r="T131" s="1"/>
      <c r="U131" s="1"/>
      <c r="V131" s="1"/>
      <c r="W131" s="1"/>
      <c r="X131" s="1"/>
      <c r="Y131" s="1"/>
      <c r="Z131" s="1"/>
      <c r="AA131" s="47"/>
      <c r="AB131" s="17"/>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idden="1" x14ac:dyDescent="0.2">
      <c r="A132" s="2"/>
      <c r="B132" s="129"/>
      <c r="C132" s="4"/>
      <c r="D132" s="5"/>
      <c r="E132" s="6"/>
      <c r="F132" s="2"/>
      <c r="G132" s="2"/>
      <c r="H132" s="2"/>
      <c r="I132" s="10"/>
      <c r="J132" s="1"/>
      <c r="K132" s="1"/>
      <c r="L132" s="1"/>
      <c r="M132" s="1"/>
      <c r="N132" s="42"/>
      <c r="O132" s="1"/>
      <c r="P132" s="809" t="str">
        <f>IF(C15=Variables!E13,"Y","N")</f>
        <v>N</v>
      </c>
      <c r="Q132" s="810">
        <f>Variables!B51</f>
        <v>285</v>
      </c>
      <c r="R132" s="1"/>
      <c r="S132" s="1"/>
      <c r="T132" s="1"/>
      <c r="U132" s="1"/>
      <c r="V132" s="1"/>
      <c r="W132" s="1"/>
      <c r="X132" s="1"/>
      <c r="Y132" s="1"/>
      <c r="Z132" s="1"/>
      <c r="AA132" s="47"/>
      <c r="AB132" s="1"/>
      <c r="AC132" s="1"/>
      <c r="AD132" s="1"/>
      <c r="AE132" s="1"/>
      <c r="AF132" s="1"/>
      <c r="AG132" s="1"/>
      <c r="AH132" s="1"/>
      <c r="AI132" s="1"/>
      <c r="AJ132" s="1"/>
      <c r="AK132" s="1"/>
      <c r="AL132" s="1"/>
      <c r="AM132" s="17"/>
      <c r="AN132" s="17"/>
      <c r="AO132" s="17"/>
      <c r="AP132" s="17"/>
      <c r="AQ132" s="17"/>
      <c r="AR132" s="17"/>
      <c r="AS132" s="17"/>
      <c r="AT132" s="17"/>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idden="1" x14ac:dyDescent="0.2">
      <c r="A133" s="2"/>
      <c r="B133" s="129"/>
      <c r="C133" s="4"/>
      <c r="D133" s="5"/>
      <c r="E133" s="6"/>
      <c r="F133" s="2"/>
      <c r="G133" s="2"/>
      <c r="H133" s="2"/>
      <c r="I133" s="10"/>
      <c r="J133" s="1"/>
      <c r="K133" s="1"/>
      <c r="L133" s="1"/>
      <c r="M133" s="1"/>
      <c r="N133" s="42"/>
      <c r="O133" s="1"/>
      <c r="P133" s="809" t="str">
        <f>IF(C15=Variables!E14,"Y","N")</f>
        <v>N</v>
      </c>
      <c r="Q133" s="810">
        <f>T120</f>
        <v>0</v>
      </c>
      <c r="R133" s="1"/>
      <c r="S133" s="1"/>
      <c r="T133" s="1"/>
      <c r="U133" s="1"/>
      <c r="V133" s="1"/>
      <c r="W133" s="1"/>
      <c r="X133" s="1"/>
      <c r="Y133" s="1"/>
      <c r="Z133" s="47"/>
      <c r="AA133" s="104" t="s">
        <v>59</v>
      </c>
      <c r="AB133" s="105" t="s">
        <v>60</v>
      </c>
      <c r="AC133" s="105" t="s">
        <v>265</v>
      </c>
      <c r="AD133" s="106">
        <f>IF(I56&lt;=50,I56*Variables!B113,"")</f>
        <v>0</v>
      </c>
      <c r="AE133" s="106">
        <f>AD133</f>
        <v>0</v>
      </c>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idden="1" x14ac:dyDescent="0.2">
      <c r="A134" s="2"/>
      <c r="B134" s="129"/>
      <c r="C134" s="4"/>
      <c r="D134" s="5"/>
      <c r="E134" s="6"/>
      <c r="F134" s="2"/>
      <c r="G134" s="2"/>
      <c r="H134" s="2"/>
      <c r="I134" s="10"/>
      <c r="J134" s="1"/>
      <c r="K134" s="1"/>
      <c r="L134" s="1"/>
      <c r="M134" s="1"/>
      <c r="N134" s="42"/>
      <c r="O134" s="1"/>
      <c r="P134" s="809" t="str">
        <f>IF(C15=Variables!E15,"Y","N")</f>
        <v>N</v>
      </c>
      <c r="Q134" s="810">
        <f>Variables!B53</f>
        <v>285</v>
      </c>
      <c r="R134" s="1"/>
      <c r="S134" s="1"/>
      <c r="T134" s="1"/>
      <c r="U134" s="1"/>
      <c r="V134" s="1"/>
      <c r="W134" s="1"/>
      <c r="X134" s="1"/>
      <c r="Y134" s="1"/>
      <c r="Z134" s="42"/>
      <c r="AA134" s="104" t="s">
        <v>59</v>
      </c>
      <c r="AB134" s="105" t="s">
        <v>61</v>
      </c>
      <c r="AC134" s="105" t="s">
        <v>267</v>
      </c>
      <c r="AD134" s="106">
        <f>IF(I56&gt;50,I56-50,0)</f>
        <v>0</v>
      </c>
      <c r="AE134" s="106" t="str">
        <f>IF(AD134&gt;0,AD134*AC134+75,"")</f>
        <v/>
      </c>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idden="1" x14ac:dyDescent="0.2">
      <c r="A135" s="2"/>
      <c r="B135" s="129"/>
      <c r="C135" s="4"/>
      <c r="D135" s="5"/>
      <c r="E135" s="6"/>
      <c r="F135" s="2"/>
      <c r="G135" s="2"/>
      <c r="H135" s="2"/>
      <c r="I135" s="10"/>
      <c r="J135" s="1"/>
      <c r="K135" s="1"/>
      <c r="L135" s="1"/>
      <c r="M135" s="1"/>
      <c r="N135" s="42"/>
      <c r="O135" s="1"/>
      <c r="P135" s="809" t="str">
        <f>IF(C15=Variables!E16,"Y","N")</f>
        <v>N</v>
      </c>
      <c r="Q135" s="810">
        <f>P109</f>
        <v>0</v>
      </c>
      <c r="R135" s="1"/>
      <c r="S135" s="1"/>
      <c r="T135" s="1"/>
      <c r="U135" s="1"/>
      <c r="V135" s="1"/>
      <c r="W135" s="1"/>
      <c r="X135" s="1"/>
      <c r="Y135" s="1"/>
      <c r="Z135" s="47"/>
      <c r="AA135" s="104" t="s">
        <v>62</v>
      </c>
      <c r="AB135" s="106"/>
      <c r="AC135" s="105" t="s">
        <v>268</v>
      </c>
      <c r="AD135" s="106" t="str">
        <f>IF(I58&gt;0,I58*Variables!B115,"")</f>
        <v/>
      </c>
      <c r="AE135" s="106" t="str">
        <f>AD135</f>
        <v/>
      </c>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idden="1" x14ac:dyDescent="0.2">
      <c r="A136" s="2"/>
      <c r="B136" s="129"/>
      <c r="C136" s="4"/>
      <c r="D136" s="5"/>
      <c r="E136" s="6"/>
      <c r="F136" s="2"/>
      <c r="G136" s="2"/>
      <c r="H136" s="2"/>
      <c r="I136" s="10"/>
      <c r="J136" s="1"/>
      <c r="K136" s="1"/>
      <c r="L136" s="1"/>
      <c r="M136" s="1"/>
      <c r="N136" s="42"/>
      <c r="O136" s="1"/>
      <c r="P136" s="809" t="str">
        <f>IF(C15=Variables!E17,"Y","N")</f>
        <v>N</v>
      </c>
      <c r="Q136" s="810">
        <f>Variables!B52</f>
        <v>285</v>
      </c>
      <c r="R136" s="1"/>
      <c r="S136" s="1"/>
      <c r="T136" s="1"/>
      <c r="U136" s="1"/>
      <c r="V136" s="1"/>
      <c r="W136" s="1"/>
      <c r="X136" s="1"/>
      <c r="Y136" s="1"/>
      <c r="Z136" s="47"/>
      <c r="AA136" s="104"/>
      <c r="AB136" s="106"/>
      <c r="AC136" s="106"/>
      <c r="AD136" s="106"/>
      <c r="AE136" s="106">
        <f>SUM(AE133:AE135)</f>
        <v>0</v>
      </c>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idden="1" x14ac:dyDescent="0.2">
      <c r="A137" s="2"/>
      <c r="B137" s="129"/>
      <c r="C137" s="4"/>
      <c r="D137" s="5"/>
      <c r="E137" s="6"/>
      <c r="F137" s="2"/>
      <c r="G137" s="2"/>
      <c r="H137" s="2"/>
      <c r="I137" s="10"/>
      <c r="J137" s="1"/>
      <c r="K137" s="1"/>
      <c r="M137" s="1"/>
      <c r="N137" s="68"/>
      <c r="O137" s="1"/>
      <c r="P137" s="809"/>
      <c r="Q137" s="809" t="e">
        <f>VLOOKUP("Y",P127:Q136,2,0)</f>
        <v>#N/A</v>
      </c>
      <c r="R137" s="1"/>
      <c r="S137" s="1"/>
      <c r="T137" s="1"/>
      <c r="U137" s="1"/>
      <c r="V137" s="1"/>
      <c r="W137" s="1"/>
      <c r="X137" s="1"/>
      <c r="Y137" s="1"/>
      <c r="Z137" s="47"/>
      <c r="AA137" s="47"/>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idden="1" x14ac:dyDescent="0.2">
      <c r="A138" s="2"/>
      <c r="B138" s="129"/>
      <c r="C138" s="4"/>
      <c r="D138" s="5"/>
      <c r="E138" s="6"/>
      <c r="F138" s="2"/>
      <c r="G138" s="2"/>
      <c r="H138" s="2"/>
      <c r="I138" s="10"/>
      <c r="J138" s="1"/>
      <c r="K138" s="1"/>
      <c r="M138" s="1"/>
      <c r="N138" s="68"/>
      <c r="O138" s="1"/>
      <c r="P138" s="1"/>
      <c r="Q138" s="1"/>
      <c r="R138" s="1"/>
      <c r="S138" s="1"/>
      <c r="T138" s="1"/>
      <c r="U138" s="1"/>
      <c r="V138" s="1"/>
      <c r="W138" s="1"/>
      <c r="X138" s="1"/>
      <c r="Y138" s="1"/>
      <c r="Z138" s="47"/>
      <c r="AA138" s="47"/>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idden="1" x14ac:dyDescent="0.2">
      <c r="A139" s="2"/>
      <c r="B139" s="129"/>
      <c r="C139" s="4"/>
      <c r="D139" s="5"/>
      <c r="E139" s="6"/>
      <c r="F139" s="2"/>
      <c r="G139" s="2"/>
      <c r="H139" s="2"/>
      <c r="I139" s="10"/>
      <c r="J139" s="1"/>
      <c r="K139" s="1"/>
      <c r="M139" s="1"/>
      <c r="N139" s="68"/>
      <c r="O139" s="1"/>
      <c r="P139" s="1"/>
      <c r="Q139" s="1"/>
      <c r="R139" s="1"/>
      <c r="S139" s="1"/>
      <c r="T139" s="1"/>
      <c r="U139" s="1"/>
      <c r="V139" s="1"/>
      <c r="W139" s="1"/>
      <c r="X139" s="1"/>
      <c r="Y139" s="1"/>
      <c r="Z139" s="42"/>
      <c r="AA139" s="47"/>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idden="1" x14ac:dyDescent="0.2">
      <c r="A140" s="2"/>
      <c r="B140" s="129"/>
      <c r="C140" s="4"/>
      <c r="D140" s="5"/>
      <c r="E140" s="6"/>
      <c r="F140" s="2"/>
      <c r="G140" s="2"/>
      <c r="H140" s="2"/>
      <c r="I140" s="10"/>
      <c r="J140" s="1"/>
      <c r="K140" s="1"/>
      <c r="L140" s="42"/>
      <c r="M140" s="1"/>
      <c r="N140" s="68"/>
      <c r="O140" s="1"/>
      <c r="P140" s="1"/>
      <c r="Q140" s="1"/>
      <c r="R140" s="1"/>
      <c r="S140" s="1"/>
      <c r="T140" s="1"/>
      <c r="U140" s="1"/>
      <c r="V140" s="1"/>
      <c r="W140" s="1"/>
      <c r="X140" s="1"/>
      <c r="Y140" s="1"/>
      <c r="Z140" s="42"/>
      <c r="AA140" s="47"/>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idden="1" x14ac:dyDescent="0.2">
      <c r="A141" s="2"/>
      <c r="B141" s="129"/>
      <c r="C141" s="4"/>
      <c r="D141" s="5"/>
      <c r="E141" s="6"/>
      <c r="F141" s="2"/>
      <c r="G141" s="2"/>
      <c r="H141" s="2"/>
      <c r="I141" s="10"/>
      <c r="J141" s="1"/>
      <c r="K141" s="1"/>
      <c r="L141" s="47"/>
      <c r="M141" s="1"/>
      <c r="N141" s="68"/>
      <c r="O141" s="1"/>
      <c r="P141" s="1"/>
      <c r="Q141" s="1"/>
      <c r="R141" s="1"/>
      <c r="S141" s="1"/>
      <c r="T141" s="1"/>
      <c r="U141" s="1"/>
      <c r="V141" s="1"/>
      <c r="W141" s="1"/>
      <c r="X141" s="1"/>
      <c r="Y141" s="1"/>
      <c r="Z141" s="42"/>
      <c r="AA141" s="47"/>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idden="1" x14ac:dyDescent="0.2">
      <c r="A142" s="2"/>
      <c r="B142" s="129"/>
      <c r="C142" s="4"/>
      <c r="D142" s="5"/>
      <c r="E142" s="6"/>
      <c r="F142" s="2"/>
      <c r="G142" s="2"/>
      <c r="H142" s="2"/>
      <c r="I142" s="10"/>
      <c r="J142" s="1"/>
      <c r="K142" s="1"/>
      <c r="L142" s="47"/>
      <c r="M142" s="1"/>
      <c r="N142" s="68"/>
      <c r="O142" s="1"/>
      <c r="P142" s="1"/>
      <c r="Q142" s="1"/>
      <c r="R142" s="1"/>
      <c r="S142" s="1"/>
      <c r="T142" s="1"/>
      <c r="U142" s="1"/>
      <c r="V142" s="1"/>
      <c r="W142" s="1"/>
      <c r="X142" s="1"/>
      <c r="Y142" s="1"/>
      <c r="Z142" s="47"/>
      <c r="AA142" s="47"/>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idden="1" x14ac:dyDescent="0.2">
      <c r="A143" s="2"/>
      <c r="B143" s="129"/>
      <c r="C143" s="4"/>
      <c r="D143" s="5"/>
      <c r="E143" s="6"/>
      <c r="F143" s="2"/>
      <c r="G143" s="2"/>
      <c r="H143" s="2"/>
      <c r="I143" s="10"/>
      <c r="J143" s="1"/>
      <c r="K143" s="1"/>
      <c r="L143" s="42"/>
      <c r="M143" s="1"/>
      <c r="N143" s="68"/>
      <c r="O143" s="1"/>
      <c r="P143" s="1"/>
      <c r="Q143" s="1"/>
      <c r="R143" s="1"/>
      <c r="S143" s="1"/>
      <c r="T143" s="1"/>
      <c r="U143" s="1"/>
      <c r="V143" s="1"/>
      <c r="W143" s="1"/>
      <c r="X143" s="1"/>
      <c r="Y143" s="1"/>
      <c r="Z143" s="47"/>
      <c r="AA143" s="47"/>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idden="1" x14ac:dyDescent="0.2">
      <c r="A144" s="1"/>
      <c r="B144" s="129"/>
      <c r="C144" s="4"/>
      <c r="D144" s="5"/>
      <c r="E144" s="6"/>
      <c r="F144" s="2"/>
      <c r="G144" s="2"/>
      <c r="H144" s="2"/>
      <c r="I144" s="10"/>
      <c r="J144" s="1"/>
      <c r="K144" s="1"/>
      <c r="L144" s="46"/>
      <c r="M144" s="1"/>
      <c r="N144" s="68"/>
      <c r="O144" s="1"/>
      <c r="P144" s="1"/>
      <c r="Q144" s="1"/>
      <c r="R144" s="1"/>
      <c r="S144" s="1"/>
      <c r="T144" s="1"/>
      <c r="U144" s="1"/>
      <c r="V144" s="1"/>
      <c r="W144" s="1"/>
      <c r="X144" s="1"/>
      <c r="Y144" s="1"/>
      <c r="Z144" s="47"/>
      <c r="AA144" s="47"/>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idden="1" x14ac:dyDescent="0.2">
      <c r="A145" s="1"/>
      <c r="B145" s="129"/>
      <c r="C145" s="4"/>
      <c r="D145" s="5"/>
      <c r="E145" s="6"/>
      <c r="F145" s="2"/>
      <c r="G145" s="2"/>
      <c r="H145" s="2"/>
      <c r="I145" s="10"/>
      <c r="J145" s="1"/>
      <c r="K145" s="1"/>
      <c r="L145" s="46"/>
      <c r="M145" s="1"/>
      <c r="N145" s="68"/>
      <c r="O145" s="1"/>
      <c r="P145" s="1"/>
      <c r="Q145" s="1"/>
      <c r="R145" s="1"/>
      <c r="S145" s="1"/>
      <c r="T145" s="1"/>
      <c r="U145" s="1"/>
      <c r="V145" s="1"/>
      <c r="W145" s="1"/>
      <c r="X145" s="1"/>
      <c r="Y145" s="1"/>
      <c r="Z145" s="42"/>
      <c r="AA145" s="47"/>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idden="1" x14ac:dyDescent="0.2">
      <c r="A146" s="1"/>
      <c r="B146" s="129"/>
      <c r="C146" s="4"/>
      <c r="D146" s="5"/>
      <c r="E146" s="6"/>
      <c r="F146" s="2"/>
      <c r="G146" s="2"/>
      <c r="H146" s="2"/>
      <c r="I146" s="10"/>
      <c r="J146" s="1"/>
      <c r="K146" s="1"/>
      <c r="L146" s="42"/>
      <c r="M146" s="1"/>
      <c r="N146" s="68"/>
      <c r="O146" s="1"/>
      <c r="P146" s="1"/>
      <c r="Q146" s="1"/>
      <c r="R146" s="1"/>
      <c r="S146" s="1"/>
      <c r="T146" s="1"/>
      <c r="U146" s="1"/>
      <c r="V146" s="1"/>
      <c r="W146" s="1"/>
      <c r="X146" s="1"/>
      <c r="Y146" s="1"/>
      <c r="Z146" s="47"/>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idden="1" x14ac:dyDescent="0.2">
      <c r="A147" s="1"/>
      <c r="B147" s="129"/>
      <c r="C147" s="4"/>
      <c r="D147" s="5"/>
      <c r="E147" s="6"/>
      <c r="F147" s="2"/>
      <c r="G147" s="2"/>
      <c r="H147" s="2"/>
      <c r="I147" s="10"/>
      <c r="J147" s="1"/>
      <c r="K147" s="1"/>
      <c r="L147" s="47"/>
      <c r="M147" s="1"/>
      <c r="N147" s="68"/>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idden="1" x14ac:dyDescent="0.2">
      <c r="A148" s="1"/>
      <c r="B148" s="130"/>
      <c r="C148" s="84"/>
      <c r="D148" s="85"/>
      <c r="E148" s="86"/>
      <c r="F148" s="2"/>
      <c r="G148" s="2"/>
      <c r="H148" s="2"/>
      <c r="I148" s="10"/>
      <c r="J148" s="1"/>
      <c r="K148" s="1"/>
      <c r="L148" s="47"/>
      <c r="M148" s="1"/>
      <c r="N148" s="68"/>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idden="1" x14ac:dyDescent="0.2">
      <c r="A149" s="1"/>
      <c r="B149" s="130"/>
      <c r="C149" s="84"/>
      <c r="D149" s="85"/>
      <c r="E149" s="86"/>
      <c r="F149" s="1"/>
      <c r="G149" s="1"/>
      <c r="H149" s="1"/>
      <c r="I149" s="1"/>
      <c r="J149" s="1"/>
      <c r="K149" s="1"/>
      <c r="L149" s="42"/>
      <c r="M149" s="1"/>
      <c r="N149" s="68"/>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idden="1" x14ac:dyDescent="0.2">
      <c r="A150" s="1"/>
      <c r="B150" s="130"/>
      <c r="C150" s="84"/>
      <c r="D150" s="85"/>
      <c r="E150" s="86"/>
      <c r="F150" s="1"/>
      <c r="G150" s="1"/>
      <c r="H150" s="1"/>
      <c r="I150" s="1"/>
      <c r="J150" s="1"/>
      <c r="K150" s="1"/>
      <c r="L150" s="46"/>
      <c r="M150" s="1"/>
      <c r="N150" s="68"/>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idden="1" x14ac:dyDescent="0.2">
      <c r="A151" s="1"/>
      <c r="B151" s="130"/>
      <c r="C151" s="84"/>
      <c r="D151" s="85"/>
      <c r="E151" s="86"/>
      <c r="F151" s="1"/>
      <c r="G151" s="1"/>
      <c r="H151" s="1"/>
      <c r="I151" s="1"/>
      <c r="J151" s="1"/>
      <c r="K151" s="1"/>
      <c r="L151" s="46"/>
      <c r="M151" s="1"/>
      <c r="N151" s="68"/>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idden="1" x14ac:dyDescent="0.2">
      <c r="A152" s="1"/>
      <c r="B152" s="130"/>
      <c r="C152" s="84"/>
      <c r="D152" s="85"/>
      <c r="E152" s="86"/>
      <c r="F152" s="1"/>
      <c r="G152" s="1"/>
      <c r="H152" s="1"/>
      <c r="I152" s="1"/>
      <c r="J152" s="1"/>
      <c r="K152" s="1"/>
      <c r="L152" s="42"/>
      <c r="M152" s="1"/>
      <c r="N152" s="68"/>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idden="1" x14ac:dyDescent="0.2">
      <c r="A153" s="1"/>
      <c r="B153" s="130"/>
      <c r="C153" s="84"/>
      <c r="D153" s="85"/>
      <c r="E153" s="86"/>
      <c r="F153" s="1"/>
      <c r="G153" s="1"/>
      <c r="H153" s="1"/>
      <c r="I153" s="1"/>
      <c r="J153" s="1"/>
      <c r="K153" s="1"/>
      <c r="L153" s="47"/>
      <c r="M153" s="1"/>
      <c r="N153" s="68"/>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idden="1" x14ac:dyDescent="0.2">
      <c r="A154" s="1"/>
      <c r="B154" s="130"/>
      <c r="C154" s="84"/>
      <c r="D154" s="85"/>
      <c r="E154" s="86"/>
      <c r="F154" s="1"/>
      <c r="G154" s="1"/>
      <c r="H154" s="1"/>
      <c r="I154" s="1"/>
      <c r="J154" s="1"/>
      <c r="K154" s="1"/>
      <c r="L154" s="47"/>
      <c r="M154" s="1"/>
      <c r="N154" s="68"/>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idden="1" x14ac:dyDescent="0.2">
      <c r="A155" s="1"/>
      <c r="B155" s="130"/>
      <c r="C155" s="84"/>
      <c r="D155" s="85"/>
      <c r="E155" s="86"/>
      <c r="F155" s="1"/>
      <c r="G155" s="1"/>
      <c r="H155" s="1"/>
      <c r="I155" s="1"/>
      <c r="J155" s="1"/>
      <c r="K155" s="1"/>
      <c r="L155" s="47"/>
      <c r="M155" s="1"/>
      <c r="N155" s="69"/>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idden="1" x14ac:dyDescent="0.2">
      <c r="A156" s="1"/>
      <c r="B156" s="130"/>
      <c r="C156" s="84"/>
      <c r="D156" s="85"/>
      <c r="E156" s="86"/>
      <c r="F156" s="1"/>
      <c r="G156" s="1"/>
      <c r="H156" s="1"/>
      <c r="I156" s="1"/>
      <c r="J156" s="1"/>
      <c r="K156" s="1"/>
      <c r="L156" s="47"/>
      <c r="M156" s="1"/>
      <c r="N156" s="68"/>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idden="1" x14ac:dyDescent="0.2">
      <c r="A157" s="1"/>
      <c r="B157" s="130"/>
      <c r="C157" s="84"/>
      <c r="D157" s="85"/>
      <c r="E157" s="86"/>
      <c r="F157" s="1"/>
      <c r="G157" s="1"/>
      <c r="H157" s="1"/>
      <c r="I157" s="1"/>
      <c r="J157" s="1"/>
      <c r="K157" s="1"/>
      <c r="L157" s="42"/>
      <c r="M157" s="1"/>
      <c r="N157" s="68"/>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idden="1" x14ac:dyDescent="0.2">
      <c r="A158" s="1"/>
      <c r="B158" s="130"/>
      <c r="C158" s="84"/>
      <c r="D158" s="85"/>
      <c r="E158" s="86"/>
      <c r="F158" s="1"/>
      <c r="G158" s="1"/>
      <c r="H158" s="1"/>
      <c r="I158" s="1"/>
      <c r="J158" s="1"/>
      <c r="K158" s="1"/>
      <c r="L158" s="42"/>
      <c r="M158" s="1"/>
      <c r="N158" s="68"/>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idden="1" x14ac:dyDescent="0.2">
      <c r="A159" s="1"/>
      <c r="B159" s="130"/>
      <c r="C159" s="84"/>
      <c r="D159" s="85"/>
      <c r="E159" s="86"/>
      <c r="F159" s="1"/>
      <c r="G159" s="1"/>
      <c r="H159" s="1"/>
      <c r="I159" s="1"/>
      <c r="J159" s="1"/>
      <c r="K159" s="1"/>
      <c r="L159" s="42"/>
      <c r="M159" s="1"/>
      <c r="N159" s="68"/>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idden="1" x14ac:dyDescent="0.2">
      <c r="A160" s="1"/>
      <c r="B160" s="130"/>
      <c r="C160" s="84"/>
      <c r="D160" s="85"/>
      <c r="E160" s="86"/>
      <c r="F160" s="1"/>
      <c r="G160" s="1"/>
      <c r="H160" s="1"/>
      <c r="I160" s="1"/>
      <c r="J160" s="1"/>
      <c r="K160" s="1"/>
      <c r="L160" s="42"/>
      <c r="M160" s="1"/>
      <c r="N160" s="69"/>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idden="1" x14ac:dyDescent="0.2">
      <c r="A161" s="1"/>
      <c r="B161" s="130"/>
      <c r="C161" s="84"/>
      <c r="D161" s="85"/>
      <c r="E161" s="86"/>
      <c r="F161" s="1"/>
      <c r="G161" s="1"/>
      <c r="H161" s="1"/>
      <c r="I161" s="1"/>
      <c r="J161" s="1"/>
      <c r="K161" s="1"/>
      <c r="L161" s="47"/>
      <c r="M161" s="1"/>
      <c r="N161" s="69"/>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idden="1" x14ac:dyDescent="0.2">
      <c r="A162" s="1"/>
      <c r="B162" s="130"/>
      <c r="C162" s="84"/>
      <c r="D162" s="85"/>
      <c r="E162" s="86"/>
      <c r="F162" s="1"/>
      <c r="G162" s="1"/>
      <c r="H162" s="1"/>
      <c r="I162" s="1"/>
      <c r="J162" s="1"/>
      <c r="K162" s="1"/>
      <c r="L162" s="42"/>
      <c r="M162" s="1"/>
      <c r="N162" s="69"/>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idden="1" x14ac:dyDescent="0.2">
      <c r="A163" s="1"/>
      <c r="B163" s="130"/>
      <c r="C163" s="84"/>
      <c r="D163" s="85"/>
      <c r="E163" s="86"/>
      <c r="F163" s="1"/>
      <c r="G163" s="1"/>
      <c r="H163" s="1"/>
      <c r="I163" s="1"/>
      <c r="J163" s="1"/>
      <c r="K163" s="1"/>
      <c r="L163" s="47"/>
      <c r="M163" s="1"/>
      <c r="N163" s="68"/>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idden="1" x14ac:dyDescent="0.2">
      <c r="A164" s="1"/>
      <c r="B164" s="130"/>
      <c r="C164" s="84"/>
      <c r="D164" s="85"/>
      <c r="E164" s="86"/>
      <c r="F164" s="1"/>
      <c r="G164" s="1"/>
      <c r="H164" s="1"/>
      <c r="I164" s="1"/>
      <c r="J164" s="1"/>
      <c r="K164" s="1"/>
      <c r="L164" s="46"/>
      <c r="M164" s="1"/>
      <c r="N164" s="68"/>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1:78" hidden="1" x14ac:dyDescent="0.2">
      <c r="A165" s="1"/>
      <c r="B165" s="130"/>
      <c r="C165" s="84"/>
      <c r="D165" s="85"/>
      <c r="E165" s="86"/>
      <c r="F165" s="1"/>
      <c r="G165" s="1"/>
      <c r="H165" s="1"/>
      <c r="I165" s="1"/>
      <c r="J165" s="1"/>
      <c r="K165" s="1"/>
      <c r="L165" s="46"/>
      <c r="M165" s="1"/>
      <c r="N165" s="68"/>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1:78" hidden="1" x14ac:dyDescent="0.2">
      <c r="A166" s="1"/>
      <c r="B166" s="130"/>
      <c r="C166" s="84"/>
      <c r="D166" s="85"/>
      <c r="E166" s="86"/>
      <c r="F166" s="1"/>
      <c r="G166" s="1"/>
      <c r="H166" s="1"/>
      <c r="I166" s="1"/>
      <c r="J166" s="1"/>
      <c r="K166" s="1"/>
      <c r="L166" s="42"/>
      <c r="M166" s="1"/>
      <c r="N166" s="68"/>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1:78" hidden="1" x14ac:dyDescent="0.2">
      <c r="A167" s="1"/>
      <c r="B167" s="130"/>
      <c r="C167" s="84"/>
      <c r="D167" s="85"/>
      <c r="E167" s="86"/>
      <c r="F167" s="1"/>
      <c r="G167" s="1"/>
      <c r="H167" s="1"/>
      <c r="I167" s="1"/>
      <c r="J167" s="1"/>
      <c r="K167" s="1"/>
      <c r="L167" s="47"/>
      <c r="M167" s="1"/>
      <c r="N167" s="68"/>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1:78" hidden="1" x14ac:dyDescent="0.2">
      <c r="A168" s="1"/>
      <c r="B168" s="130"/>
      <c r="C168" s="84"/>
      <c r="D168" s="85"/>
      <c r="E168" s="86"/>
      <c r="F168" s="17"/>
      <c r="G168" s="1"/>
      <c r="H168" s="1"/>
      <c r="I168" s="1"/>
      <c r="J168" s="1"/>
      <c r="K168" s="1"/>
      <c r="L168" s="47"/>
      <c r="M168" s="1"/>
      <c r="N168" s="68"/>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1:78" hidden="1" x14ac:dyDescent="0.2">
      <c r="A169" s="1"/>
      <c r="B169" s="130"/>
      <c r="C169" s="84"/>
      <c r="D169" s="85"/>
      <c r="E169" s="86"/>
      <c r="F169" s="1"/>
      <c r="G169" s="1"/>
      <c r="H169" s="1"/>
      <c r="I169" s="1"/>
      <c r="J169" s="1"/>
      <c r="K169" s="1"/>
      <c r="L169" s="42"/>
      <c r="M169" s="1"/>
      <c r="N169" s="82"/>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1:78" hidden="1" x14ac:dyDescent="0.2">
      <c r="A170" s="1"/>
      <c r="B170" s="130"/>
      <c r="C170" s="84"/>
      <c r="D170" s="85"/>
      <c r="E170" s="86"/>
      <c r="F170" s="17"/>
      <c r="G170" s="1"/>
      <c r="H170" s="1"/>
      <c r="I170" s="1"/>
      <c r="J170" s="1"/>
      <c r="K170" s="1"/>
      <c r="L170" s="1"/>
      <c r="M170" s="1"/>
      <c r="N170" s="68"/>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1:78" hidden="1" x14ac:dyDescent="0.2">
      <c r="A171" s="1"/>
      <c r="B171" s="130"/>
      <c r="C171" s="84"/>
      <c r="D171" s="85"/>
      <c r="E171" s="86"/>
      <c r="F171" s="1"/>
      <c r="G171" s="1"/>
      <c r="H171" s="1"/>
      <c r="I171" s="1"/>
      <c r="J171" s="1"/>
      <c r="K171" s="1"/>
      <c r="L171" s="46"/>
      <c r="M171" s="1"/>
      <c r="N171" s="68"/>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1:78" hidden="1" x14ac:dyDescent="0.2">
      <c r="A172" s="1"/>
      <c r="B172" s="130"/>
      <c r="C172" s="84"/>
      <c r="D172" s="85"/>
      <c r="E172" s="86"/>
      <c r="F172" s="1"/>
      <c r="G172" s="1"/>
      <c r="H172" s="1"/>
      <c r="I172" s="1"/>
      <c r="J172" s="1"/>
      <c r="K172" s="1"/>
      <c r="L172" s="46"/>
      <c r="M172" s="1"/>
      <c r="N172" s="68"/>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1:78" hidden="1" x14ac:dyDescent="0.2">
      <c r="A173" s="1"/>
      <c r="B173" s="130"/>
      <c r="C173" s="84"/>
      <c r="D173" s="85"/>
      <c r="E173" s="86"/>
      <c r="F173" s="1"/>
      <c r="G173" s="1"/>
      <c r="H173" s="1"/>
      <c r="I173" s="1"/>
      <c r="J173" s="1"/>
      <c r="K173" s="1"/>
      <c r="L173" s="42"/>
      <c r="M173" s="1"/>
      <c r="N173" s="68"/>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1:78" hidden="1" x14ac:dyDescent="0.2">
      <c r="A174" s="1"/>
      <c r="B174" s="130"/>
      <c r="C174" s="84"/>
      <c r="D174" s="85"/>
      <c r="E174" s="86"/>
      <c r="F174" s="1"/>
      <c r="G174" s="1"/>
      <c r="H174" s="1"/>
      <c r="I174" s="1"/>
      <c r="J174" s="1"/>
      <c r="K174" s="1"/>
      <c r="L174" s="47"/>
      <c r="M174" s="1"/>
      <c r="N174" s="68"/>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1:78" hidden="1" x14ac:dyDescent="0.2">
      <c r="A175" s="1"/>
      <c r="B175" s="130"/>
      <c r="C175" s="84"/>
      <c r="D175" s="85"/>
      <c r="E175" s="86"/>
      <c r="F175" s="1"/>
      <c r="G175" s="1"/>
      <c r="H175" s="1"/>
      <c r="I175" s="1"/>
      <c r="J175" s="1"/>
      <c r="K175" s="1"/>
      <c r="L175" s="47"/>
      <c r="M175" s="1"/>
      <c r="N175" s="69"/>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1:78" hidden="1" x14ac:dyDescent="0.2">
      <c r="A176" s="1"/>
      <c r="B176" s="130"/>
      <c r="C176" s="84"/>
      <c r="D176" s="85"/>
      <c r="E176" s="86"/>
      <c r="F176" s="1"/>
      <c r="G176" s="1"/>
      <c r="H176" s="1"/>
      <c r="I176" s="1"/>
      <c r="J176" s="1"/>
      <c r="K176" s="1"/>
      <c r="L176" s="47"/>
      <c r="M176" s="1"/>
      <c r="N176" s="68"/>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1:78" hidden="1" x14ac:dyDescent="0.2">
      <c r="A177" s="1"/>
      <c r="B177" s="130"/>
      <c r="C177" s="84"/>
      <c r="D177" s="85"/>
      <c r="E177" s="86"/>
      <c r="F177" s="1"/>
      <c r="G177" s="1"/>
      <c r="H177" s="1"/>
      <c r="I177" s="1"/>
      <c r="J177" s="1"/>
      <c r="K177" s="1"/>
      <c r="L177" s="47"/>
      <c r="M177" s="1"/>
      <c r="N177" s="69"/>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1:78" hidden="1" x14ac:dyDescent="0.2">
      <c r="A178" s="1"/>
      <c r="B178" s="130"/>
      <c r="C178" s="84"/>
      <c r="D178" s="85"/>
      <c r="E178" s="86"/>
      <c r="F178" s="1"/>
      <c r="G178" s="1"/>
      <c r="H178" s="1"/>
      <c r="I178" s="1"/>
      <c r="J178" s="1"/>
      <c r="K178" s="1"/>
      <c r="L178" s="1"/>
      <c r="M178" s="1"/>
      <c r="N178" s="69"/>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1:78" hidden="1" x14ac:dyDescent="0.2">
      <c r="A179" s="1"/>
      <c r="B179" s="130"/>
      <c r="C179" s="84"/>
      <c r="D179" s="85"/>
      <c r="E179" s="86"/>
      <c r="F179" s="1"/>
      <c r="G179" s="1"/>
      <c r="H179" s="1"/>
      <c r="I179" s="1"/>
      <c r="J179" s="1"/>
      <c r="K179" s="1"/>
      <c r="L179" s="1"/>
      <c r="M179" s="1"/>
      <c r="N179" s="69"/>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1:78" hidden="1" x14ac:dyDescent="0.2">
      <c r="A180" s="2"/>
      <c r="B180" s="130"/>
      <c r="C180" s="84"/>
      <c r="D180" s="85"/>
      <c r="E180" s="86"/>
      <c r="F180" s="1"/>
      <c r="G180" s="1"/>
      <c r="H180" s="1"/>
      <c r="I180" s="1"/>
      <c r="J180" s="1"/>
      <c r="K180" s="1"/>
      <c r="L180" s="1"/>
      <c r="M180" s="1"/>
      <c r="N180" s="69"/>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1:78" hidden="1" x14ac:dyDescent="0.2">
      <c r="A181" s="2"/>
      <c r="B181" s="130"/>
      <c r="C181" s="84"/>
      <c r="D181" s="85"/>
      <c r="E181" s="86"/>
      <c r="F181" s="1"/>
      <c r="G181" s="1"/>
      <c r="H181" s="1"/>
      <c r="I181" s="1"/>
      <c r="J181" s="1"/>
      <c r="K181" s="1"/>
      <c r="L181" s="1"/>
      <c r="M181" s="1"/>
      <c r="N181" s="69"/>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1:78" hidden="1" x14ac:dyDescent="0.2">
      <c r="A182" s="2"/>
      <c r="B182" s="130"/>
      <c r="C182" s="84"/>
      <c r="D182" s="85"/>
      <c r="E182" s="86"/>
      <c r="F182" s="1"/>
      <c r="G182" s="1"/>
      <c r="H182" s="1"/>
      <c r="I182" s="1"/>
      <c r="J182" s="1"/>
      <c r="K182" s="1"/>
      <c r="L182" s="1"/>
      <c r="M182" s="1"/>
      <c r="N182" s="69"/>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1:78" hidden="1" x14ac:dyDescent="0.2">
      <c r="A183" s="2"/>
      <c r="B183" s="130"/>
      <c r="C183" s="84"/>
      <c r="D183" s="85"/>
      <c r="E183" s="86"/>
      <c r="F183" s="1"/>
      <c r="G183" s="1"/>
      <c r="H183" s="1"/>
      <c r="I183" s="1"/>
      <c r="J183" s="1"/>
      <c r="K183" s="1"/>
      <c r="L183" s="1"/>
      <c r="M183" s="1"/>
      <c r="N183" s="69"/>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1:78" hidden="1" x14ac:dyDescent="0.2">
      <c r="A184" s="2"/>
      <c r="B184" s="129"/>
      <c r="C184" s="4"/>
      <c r="D184" s="5"/>
      <c r="E184" s="6"/>
      <c r="F184" s="1"/>
      <c r="G184" s="1"/>
      <c r="H184" s="1"/>
      <c r="I184" s="1"/>
      <c r="J184" s="1"/>
      <c r="K184" s="1"/>
      <c r="L184" s="1"/>
      <c r="M184" s="1"/>
      <c r="N184" s="69"/>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1:78" hidden="1" x14ac:dyDescent="0.2">
      <c r="A185" s="2"/>
      <c r="B185" s="129"/>
      <c r="C185" s="4"/>
      <c r="D185" s="5"/>
      <c r="E185" s="6"/>
      <c r="F185" s="2"/>
      <c r="G185" s="2"/>
      <c r="H185" s="2"/>
      <c r="I185" s="10"/>
      <c r="J185" s="1"/>
      <c r="K185" s="1"/>
      <c r="L185" s="1"/>
      <c r="M185" s="1"/>
      <c r="N185" s="69"/>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1:78" hidden="1" x14ac:dyDescent="0.2">
      <c r="A186" s="2"/>
      <c r="B186" s="129"/>
      <c r="C186" s="4"/>
      <c r="D186" s="5"/>
      <c r="E186" s="6"/>
      <c r="F186" s="2"/>
      <c r="G186" s="2"/>
      <c r="H186" s="2"/>
      <c r="I186" s="10"/>
      <c r="J186" s="1"/>
      <c r="K186" s="1"/>
      <c r="L186" s="1"/>
      <c r="M186" s="1"/>
      <c r="N186" s="69"/>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1:78" hidden="1" x14ac:dyDescent="0.2">
      <c r="A187" s="2"/>
      <c r="B187" s="129"/>
      <c r="C187" s="4"/>
      <c r="D187" s="5"/>
      <c r="E187" s="6"/>
      <c r="F187" s="2"/>
      <c r="G187" s="2"/>
      <c r="H187" s="2"/>
      <c r="I187" s="10"/>
      <c r="J187" s="1"/>
      <c r="K187" s="1"/>
      <c r="L187" s="1"/>
      <c r="M187" s="1"/>
      <c r="N187" s="69"/>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1:78" hidden="1" x14ac:dyDescent="0.2">
      <c r="A188" s="2"/>
      <c r="B188" s="129"/>
      <c r="C188" s="4"/>
      <c r="D188" s="5"/>
      <c r="E188" s="6"/>
      <c r="F188" s="2"/>
      <c r="G188" s="2"/>
      <c r="H188" s="2"/>
      <c r="I188" s="10"/>
      <c r="J188" s="1"/>
      <c r="K188" s="1"/>
      <c r="L188" s="1"/>
      <c r="M188" s="1"/>
      <c r="N188" s="69"/>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1:78" hidden="1" x14ac:dyDescent="0.2">
      <c r="A189" s="2"/>
      <c r="B189" s="129"/>
      <c r="C189" s="4"/>
      <c r="D189" s="5"/>
      <c r="E189" s="6"/>
      <c r="F189" s="2"/>
      <c r="G189" s="2"/>
      <c r="H189" s="2"/>
      <c r="I189" s="10"/>
      <c r="J189" s="1"/>
      <c r="K189" s="1"/>
      <c r="L189" s="1"/>
      <c r="M189" s="1"/>
      <c r="N189" s="69"/>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1:78" hidden="1" x14ac:dyDescent="0.2">
      <c r="A190" s="2"/>
      <c r="B190" s="129"/>
      <c r="C190" s="4"/>
      <c r="D190" s="5"/>
      <c r="E190" s="6"/>
      <c r="F190" s="2"/>
      <c r="G190" s="2"/>
      <c r="H190" s="2"/>
      <c r="I190" s="10"/>
      <c r="J190" s="1"/>
      <c r="K190" s="1"/>
      <c r="L190" s="1"/>
      <c r="M190" s="1"/>
      <c r="N190" s="69"/>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1:78" hidden="1" x14ac:dyDescent="0.2">
      <c r="A191" s="2"/>
      <c r="B191" s="129"/>
      <c r="C191" s="4"/>
      <c r="D191" s="5"/>
      <c r="E191" s="6"/>
      <c r="F191" s="2"/>
      <c r="G191" s="2"/>
      <c r="H191" s="2"/>
      <c r="I191" s="10"/>
      <c r="J191" s="1"/>
      <c r="K191" s="1"/>
      <c r="L191" s="1"/>
      <c r="M191" s="1"/>
      <c r="N191" s="69"/>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1:78" hidden="1" x14ac:dyDescent="0.2">
      <c r="A192" s="2"/>
      <c r="B192" s="129"/>
      <c r="C192" s="4"/>
      <c r="D192" s="5"/>
      <c r="E192" s="6"/>
      <c r="F192" s="2"/>
      <c r="G192" s="2"/>
      <c r="H192" s="2"/>
      <c r="I192" s="10"/>
      <c r="J192" s="1"/>
      <c r="K192" s="1"/>
      <c r="L192" s="1"/>
      <c r="M192" s="1"/>
      <c r="N192" s="69"/>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1:78" hidden="1" x14ac:dyDescent="0.2">
      <c r="A193" s="2"/>
      <c r="B193" s="129"/>
      <c r="C193" s="4"/>
      <c r="D193" s="5"/>
      <c r="E193" s="6"/>
      <c r="F193" s="2"/>
      <c r="G193" s="2"/>
      <c r="H193" s="2"/>
      <c r="I193" s="10"/>
      <c r="J193" s="1"/>
      <c r="K193" s="1"/>
      <c r="L193" s="1"/>
      <c r="M193" s="1"/>
      <c r="N193" s="69"/>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1:78" hidden="1" x14ac:dyDescent="0.2">
      <c r="A194" s="2"/>
      <c r="B194" s="129"/>
      <c r="C194" s="4"/>
      <c r="D194" s="5"/>
      <c r="E194" s="6"/>
      <c r="F194" s="2"/>
      <c r="G194" s="2"/>
      <c r="H194" s="2"/>
      <c r="I194" s="10"/>
      <c r="J194" s="1"/>
      <c r="K194" s="1"/>
      <c r="L194" s="1"/>
      <c r="M194" s="1"/>
      <c r="N194" s="69"/>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spans="1:78" hidden="1" x14ac:dyDescent="0.2">
      <c r="A195" s="2"/>
      <c r="B195" s="129"/>
      <c r="C195" s="4"/>
      <c r="D195" s="5"/>
      <c r="E195" s="6"/>
      <c r="F195" s="2"/>
      <c r="G195" s="2"/>
      <c r="H195" s="2"/>
      <c r="I195" s="10"/>
      <c r="J195" s="1"/>
      <c r="K195" s="1"/>
      <c r="L195" s="1"/>
      <c r="M195" s="1"/>
      <c r="N195" s="69"/>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spans="1:78" hidden="1" x14ac:dyDescent="0.2">
      <c r="A196" s="2"/>
      <c r="B196" s="129"/>
      <c r="C196" s="4"/>
      <c r="D196" s="5"/>
      <c r="E196" s="6"/>
      <c r="F196" s="2"/>
      <c r="G196" s="2"/>
      <c r="H196" s="2"/>
      <c r="I196" s="10"/>
      <c r="J196" s="1"/>
      <c r="K196" s="1"/>
      <c r="L196" s="1"/>
      <c r="M196" s="1"/>
      <c r="N196" s="69"/>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spans="1:78" hidden="1" x14ac:dyDescent="0.2">
      <c r="A197" s="2"/>
      <c r="B197" s="129"/>
      <c r="C197" s="4"/>
      <c r="D197" s="5"/>
      <c r="E197" s="6"/>
      <c r="F197" s="2"/>
      <c r="G197" s="2"/>
      <c r="H197" s="2"/>
      <c r="I197" s="10"/>
      <c r="J197" s="1"/>
      <c r="K197" s="1"/>
      <c r="L197" s="1"/>
      <c r="M197" s="1"/>
      <c r="N197" s="69"/>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spans="1:78" hidden="1" x14ac:dyDescent="0.2">
      <c r="A198" s="2"/>
      <c r="B198" s="129"/>
      <c r="C198" s="4"/>
      <c r="D198" s="5"/>
      <c r="E198" s="6"/>
      <c r="F198" s="2"/>
      <c r="G198" s="2"/>
      <c r="H198" s="2"/>
      <c r="I198" s="10"/>
      <c r="J198" s="1"/>
      <c r="K198" s="690" t="s">
        <v>1528</v>
      </c>
      <c r="L198" s="691"/>
      <c r="M198" s="691"/>
      <c r="N198" s="691"/>
      <c r="O198" s="691"/>
      <c r="P198" s="850" t="s">
        <v>1645</v>
      </c>
      <c r="Q198" s="691"/>
      <c r="R198" s="691"/>
      <c r="S198" s="691"/>
      <c r="T198" s="69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spans="1:78" hidden="1" x14ac:dyDescent="0.2">
      <c r="A199" s="2"/>
      <c r="B199" s="129"/>
      <c r="C199" s="4"/>
      <c r="D199" s="5"/>
      <c r="E199" s="6"/>
      <c r="F199" s="2"/>
      <c r="G199" s="2"/>
      <c r="H199" s="2"/>
      <c r="I199" s="10"/>
      <c r="J199" s="1"/>
      <c r="K199" s="693" t="s">
        <v>1530</v>
      </c>
      <c r="L199" s="692" t="s">
        <v>1531</v>
      </c>
      <c r="M199" s="694" t="s">
        <v>1532</v>
      </c>
      <c r="N199" s="694"/>
      <c r="O199" s="695"/>
      <c r="P199" s="692"/>
      <c r="Q199" s="704"/>
      <c r="R199" s="704" t="s">
        <v>1536</v>
      </c>
      <c r="S199" s="694" t="s">
        <v>1543</v>
      </c>
      <c r="T199" s="704"/>
      <c r="U199" s="58"/>
      <c r="V199" s="58"/>
      <c r="W199" s="58"/>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spans="1:78" hidden="1" x14ac:dyDescent="0.2">
      <c r="A200" s="2"/>
      <c r="B200" s="129"/>
      <c r="C200" s="4"/>
      <c r="D200" s="5"/>
      <c r="E200" s="6"/>
      <c r="F200" s="2"/>
      <c r="G200" s="2" t="str">
        <f>IF(AND(K200=1,C13&lt;=50000,C34="Yes",C38&lt;&gt;"Yes"),"Y","N")</f>
        <v>N</v>
      </c>
      <c r="H200" s="75" t="str">
        <f>Variables!Q6</f>
        <v>Base Fee Applies (allows up to 2 inspections) - any additional critical stage inspections @$92 per inspection applies</v>
      </c>
      <c r="I200" s="10"/>
      <c r="J200" s="1"/>
      <c r="K200" s="1">
        <f>IF(OR(C15=Variables!E2,C15=Variables!E6,C15=Variables!E8,C15=Variables!E9,C15=Variables!E10,C15=Variables!E11),1,0)</f>
        <v>0</v>
      </c>
      <c r="L200" s="130" t="str">
        <f>IF(AND(C13&lt;=20000,K200=1,C34="Yes"),"Y","N")</f>
        <v>N</v>
      </c>
      <c r="M200" s="1">
        <f>Variables!B126</f>
        <v>190</v>
      </c>
      <c r="N200" s="69"/>
      <c r="O200" s="1">
        <f>IF(OR(C15=Variables!I2,C15=Variables!I6),1,0)</f>
        <v>1</v>
      </c>
      <c r="P200" s="1"/>
      <c r="S200" s="17" t="s">
        <v>1544</v>
      </c>
      <c r="T200" s="17" t="s">
        <v>1545</v>
      </c>
      <c r="U200" s="17"/>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spans="1:78" hidden="1" x14ac:dyDescent="0.2">
      <c r="A201" s="2"/>
      <c r="B201" s="129"/>
      <c r="C201" s="4"/>
      <c r="D201" s="5"/>
      <c r="E201" s="6"/>
      <c r="F201" s="2"/>
      <c r="G201" s="2" t="str">
        <f>IF(AND(K200=1,C13&gt;50000,C13&lt;=100000,C34="Yes",C38&lt;&gt;"Yes"),"Y","N")</f>
        <v>N</v>
      </c>
      <c r="H201" s="75" t="str">
        <f>Variables!Q7</f>
        <v>Base Fee Applies (allows up to 3 inspections) - any additional critical stage inspections @$92 per inspection applies</v>
      </c>
      <c r="I201" s="10"/>
      <c r="J201" s="1"/>
      <c r="K201" s="1">
        <f>IF(OR(C15=Variables!E3,C15=Variables!E7,C15=Variables!E12),1,0)</f>
        <v>0</v>
      </c>
      <c r="L201" s="130" t="str">
        <f>IF(AND(C13&gt;20000,C13&lt;=50000,K200=1,C34="Yes"),"Y","N")</f>
        <v>N</v>
      </c>
      <c r="M201" s="1">
        <f>Variables!B127</f>
        <v>210</v>
      </c>
      <c r="N201" s="69"/>
      <c r="O201" s="1">
        <f>IF(OR(C15=Variables!I3,C15=Variables!I7),1,0)</f>
        <v>1</v>
      </c>
      <c r="P201" s="17" t="s">
        <v>15</v>
      </c>
      <c r="R201">
        <f>IF(C40="Yes",Variables!B99,0)</f>
        <v>0</v>
      </c>
      <c r="S201" s="1">
        <f>IF(C40="Yes",Variables!B97*2,0)</f>
        <v>0</v>
      </c>
      <c r="T201" s="1">
        <f>IF(C40="Yes",Variables!B97*3,0)</f>
        <v>0</v>
      </c>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spans="1:78" hidden="1" x14ac:dyDescent="0.2">
      <c r="A202" s="2"/>
      <c r="B202" s="129"/>
      <c r="C202" s="4"/>
      <c r="D202" s="5"/>
      <c r="E202" s="6"/>
      <c r="F202" s="2"/>
      <c r="G202" s="2" t="str">
        <f>IF(AND(K200=1,C13&gt;100000,C13&lt;=250000,C34="Yes",C38&lt;&gt;"Yes"),"Y","N")</f>
        <v>N</v>
      </c>
      <c r="H202" s="75" t="str">
        <f>Variables!Q8</f>
        <v>Base Fee Applies (allows up to 4 inspections) - any additional critical stage inspections @$92 per inspection applies</v>
      </c>
      <c r="I202" s="10"/>
      <c r="J202" s="1"/>
      <c r="K202" s="1"/>
      <c r="L202" s="130" t="str">
        <f>IF(AND(C13&gt;50000,C13&lt;=100000,K200=1,C34="Yes"),"Y","N")</f>
        <v>N</v>
      </c>
      <c r="M202" s="1">
        <f>Variables!B128</f>
        <v>262</v>
      </c>
      <c r="N202" s="69"/>
      <c r="O202" s="1"/>
      <c r="P202" s="17" t="s">
        <v>16</v>
      </c>
      <c r="R202">
        <f>IF(C42="Yes",Variables!B100,0)</f>
        <v>0</v>
      </c>
      <c r="S202" s="1">
        <f>IF(AND(C42="Yes",T222="N"),Variables!B97*2,0)</f>
        <v>0</v>
      </c>
      <c r="T202" s="1">
        <f>IF(C42="Yes",Variables!B97*3,0)</f>
        <v>0</v>
      </c>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spans="1:78" hidden="1" x14ac:dyDescent="0.2">
      <c r="A203" s="2"/>
      <c r="B203" s="129"/>
      <c r="C203" s="4"/>
      <c r="D203" s="5"/>
      <c r="E203" s="6"/>
      <c r="F203" s="2"/>
      <c r="G203" s="2" t="str">
        <f>IF(AND(K200=1,C13&gt;250000,C34="Yes",C38&lt;&gt;"Yes"),"Y","N")</f>
        <v>N</v>
      </c>
      <c r="H203" s="75" t="str">
        <f>Variables!Q9</f>
        <v>Base Fee Applies (allows up to 5 inspections) - any additional critical stage inspections @$92 per inspection applies</v>
      </c>
      <c r="I203" s="10"/>
      <c r="J203" s="1"/>
      <c r="K203" s="1"/>
      <c r="L203" s="130" t="str">
        <f>IF(AND(C13&gt;100000,C13&lt;=250000,K200=1,C34="Yes"),"Y","N")</f>
        <v>N</v>
      </c>
      <c r="M203" s="1">
        <f>Variables!B129</f>
        <v>374</v>
      </c>
      <c r="N203" s="69"/>
      <c r="O203" s="1"/>
      <c r="P203" s="17" t="s">
        <v>17</v>
      </c>
      <c r="R203">
        <f>IF(C44="Yes",Variables!B101,0)</f>
        <v>0</v>
      </c>
      <c r="S203" s="1">
        <v>0</v>
      </c>
      <c r="T203" s="1">
        <v>0</v>
      </c>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spans="1:78" hidden="1" x14ac:dyDescent="0.2">
      <c r="A204" s="2"/>
      <c r="B204" s="129"/>
      <c r="C204" s="4"/>
      <c r="D204" s="5"/>
      <c r="E204" s="6"/>
      <c r="F204" s="2"/>
      <c r="G204" s="2" t="str">
        <f>IF(AND(K200=1,C13&lt;=50000,C34="Yes",C38="Yes"),"Y","N")</f>
        <v>N</v>
      </c>
      <c r="H204" s="75" t="str">
        <f>Variables!Q11</f>
        <v>Base Fee Applies (allows up to 2 inspections) - any additional critical stage inspections @$92 per inspection applies
Section 68 inspection fees included</v>
      </c>
      <c r="I204" s="10"/>
      <c r="J204" s="1"/>
      <c r="K204" s="1"/>
      <c r="L204" s="130" t="str">
        <f>IF(AND(C13&gt;250000,C13&lt;=400000,K200=1,C34="Yes"),"Y","N")</f>
        <v>N</v>
      </c>
      <c r="M204" s="1">
        <f>Variables!B130</f>
        <v>441</v>
      </c>
      <c r="N204" s="69"/>
      <c r="O204" s="1"/>
      <c r="P204" s="17" t="s">
        <v>1541</v>
      </c>
      <c r="Q204">
        <f>IF(AND(C46="Yes",P221&gt;0,C42&lt;&gt;"YES"),Variables!B102,(Variables!B102-Variables!B100))</f>
        <v>94</v>
      </c>
      <c r="R204">
        <f>IF(AND(K200=1,C46="Yes"),Q204,0)</f>
        <v>0</v>
      </c>
      <c r="S204" s="1">
        <f>IF(C46="Yes",Variables!B97*3,0)</f>
        <v>0</v>
      </c>
      <c r="T204" s="1">
        <f>IF(C46="Yes",Variables!B97*4,0)</f>
        <v>0</v>
      </c>
      <c r="U204" s="703"/>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spans="1:78" hidden="1" x14ac:dyDescent="0.2">
      <c r="A205" s="2"/>
      <c r="B205" s="129"/>
      <c r="C205" s="4"/>
      <c r="D205" s="5"/>
      <c r="E205" s="6"/>
      <c r="F205" s="2"/>
      <c r="G205" s="2" t="str">
        <f>IF(AND(K200=1,C13&gt;50000,C13&lt;=100000,C34="Yes",C38="Yes"),"Y","N")</f>
        <v>N</v>
      </c>
      <c r="H205" s="75" t="str">
        <f>Variables!Q12</f>
        <v>Base Fee Applies (allows up to 3 inspections) - any additional critical stage inspections @$92 per inspection applies
Section 68 inspection fees included</v>
      </c>
      <c r="I205" s="10"/>
      <c r="J205" s="1"/>
      <c r="K205" s="1"/>
      <c r="L205" s="130" t="str">
        <f>IF(AND(C13&gt;400000,C13&lt;=500000,K200=1,C34="Yes"),"Y","N")</f>
        <v>N</v>
      </c>
      <c r="M205" s="1">
        <f>Variables!B131</f>
        <v>508</v>
      </c>
      <c r="N205" s="69"/>
      <c r="P205" s="17" t="s">
        <v>1542</v>
      </c>
      <c r="Q205">
        <f>IF(AND(C46="Yes",Q217&gt;0,C42&lt;&gt;"YES"),Variables!B103,(Variables!B103-Variables!B100))</f>
        <v>273</v>
      </c>
      <c r="R205">
        <f>IF(AND(K201=1,C46="Yes"),Q205,0)</f>
        <v>0</v>
      </c>
      <c r="S205" s="1">
        <f>IF(C48="Yes",Variables!B97*3,0)</f>
        <v>0</v>
      </c>
      <c r="T205" s="1">
        <f>IF(C48="Yes",Variables!B97*4,0)</f>
        <v>0</v>
      </c>
      <c r="U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spans="1:78" hidden="1" x14ac:dyDescent="0.2">
      <c r="A206" s="2"/>
      <c r="B206" s="129"/>
      <c r="C206" s="4"/>
      <c r="D206" s="5"/>
      <c r="E206" s="6"/>
      <c r="F206" s="2"/>
      <c r="G206" s="2" t="str">
        <f>IF(AND(K200=1,C13&gt;100000,C13&lt;=250000,C34="Yes",C38="Yes"),"Y","N")</f>
        <v>N</v>
      </c>
      <c r="H206" s="75" t="str">
        <f>Variables!Q13</f>
        <v>Base Fee Applies (allows up to 4 inspections) - any additional critical stage inspections @$92 per inspection applies
Section 68 inspection fees included</v>
      </c>
      <c r="I206" s="10"/>
      <c r="J206" s="1"/>
      <c r="K206" s="1"/>
      <c r="L206" s="130" t="str">
        <f>IF(AND(C13&gt;500000,K200=1,C34="Yes"),"Y","N")</f>
        <v>N</v>
      </c>
      <c r="M206" s="1">
        <f>Variables!B132</f>
        <v>539</v>
      </c>
      <c r="N206" s="69"/>
      <c r="O206" s="1"/>
      <c r="P206" s="17" t="s">
        <v>1535</v>
      </c>
      <c r="R206">
        <f>IF(C50="Yes",Variables!B100,0)</f>
        <v>0</v>
      </c>
      <c r="S206" s="1">
        <f>IF(C50="Yes",Variables!B97,0)</f>
        <v>0</v>
      </c>
      <c r="T206" s="1">
        <f>IF(C50="Yes",Variables!B97,0)</f>
        <v>0</v>
      </c>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spans="1:78" hidden="1" x14ac:dyDescent="0.2">
      <c r="A207" s="2"/>
      <c r="B207" s="129"/>
      <c r="C207" s="4"/>
      <c r="D207" s="5"/>
      <c r="E207" s="6"/>
      <c r="F207" s="2"/>
      <c r="G207" s="2" t="str">
        <f>IF(AND(K200=1,C13&gt;250000,C34="Yes",C38="Yes"),"Y","N")</f>
        <v>N</v>
      </c>
      <c r="H207" s="75" t="str">
        <f>Variables!Q14</f>
        <v>Base Fee Applies (allows up to 5 inspections) - any additional critical stage inspections @$92 per inspection applies
Section 68 inspection fees included</v>
      </c>
      <c r="I207" s="10"/>
      <c r="J207" s="1"/>
      <c r="K207" s="1"/>
      <c r="L207" s="130" t="str">
        <f>IF(AND(C13&lt;=100000,K201=1,C34="Yes"),"Y","N")</f>
        <v>N</v>
      </c>
      <c r="M207" s="1">
        <f>Variables!B135</f>
        <v>246</v>
      </c>
      <c r="N207" s="69"/>
      <c r="O207" s="1"/>
      <c r="P207" s="17" t="s">
        <v>1539</v>
      </c>
      <c r="Q207">
        <f>IF(AND(C48="Yes",P221&gt;0,C42&lt;&gt;"YES"),Variables!B102,(Variables!B102-Variables!B100))</f>
        <v>94</v>
      </c>
      <c r="R207" s="1">
        <f>IF(AND(K200=1,C48="Yes"),Q207,0)</f>
        <v>0</v>
      </c>
      <c r="S207" s="1">
        <f>IF(C48="Yes",Variables!B97,0)</f>
        <v>0</v>
      </c>
      <c r="T207" s="1">
        <f>IF(C48="Yes",Variables!B97,0)</f>
        <v>0</v>
      </c>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spans="1:78" hidden="1" x14ac:dyDescent="0.2">
      <c r="A208" s="2"/>
      <c r="B208" s="129"/>
      <c r="C208" s="4"/>
      <c r="D208" s="5"/>
      <c r="E208" s="6"/>
      <c r="F208" s="2"/>
      <c r="G208" s="2" t="str">
        <f>IF(AND(K201=1,C13&lt;=250000,C34="Yes",C38&lt;&gt;"Yes"),"Y","N")</f>
        <v>N</v>
      </c>
      <c r="H208" s="75" t="str">
        <f>Variables!Q15</f>
        <v>Base Fee Applies (allows up to 2 inspections) - any additional critical stage inspections @$133 per inspection applies</v>
      </c>
      <c r="I208" s="10"/>
      <c r="J208" s="1"/>
      <c r="K208" s="1"/>
      <c r="L208" s="130" t="str">
        <f>IF(AND(C13&gt;100000,C13&lt;=250000,K201=1,C34="Yes"),"Y","N")</f>
        <v>N</v>
      </c>
      <c r="M208" s="1">
        <f>Variables!B136</f>
        <v>385</v>
      </c>
      <c r="N208" s="69"/>
      <c r="O208" s="1"/>
      <c r="P208" s="17" t="s">
        <v>1540</v>
      </c>
      <c r="Q208">
        <f>IF(AND(C48="Yes",Q217&gt;0,C42&lt;&gt;"YES"),Variables!B103,(Variables!B103-Variables!B100))</f>
        <v>273</v>
      </c>
      <c r="R208" s="1">
        <f>IF(AND(K201=1,C48="Yes"),Q208,0)</f>
        <v>0</v>
      </c>
      <c r="S208" s="1">
        <f>IF(C48="Yes",Variables!B97,0)</f>
        <v>0</v>
      </c>
      <c r="T208" s="1">
        <f>IF(C48="Yes",Variables!B97,0)</f>
        <v>0</v>
      </c>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spans="1:78" hidden="1" x14ac:dyDescent="0.2">
      <c r="A209" s="2"/>
      <c r="B209" s="129"/>
      <c r="C209" s="4"/>
      <c r="D209" s="5"/>
      <c r="E209" s="6"/>
      <c r="F209" s="2"/>
      <c r="G209" s="2" t="str">
        <f>IF(AND(K201=1,C13&gt;250000,C34="Yes",C38&lt;&gt;"Yes"),"Y","N")</f>
        <v>N</v>
      </c>
      <c r="H209" s="75" t="str">
        <f>Variables!Q16</f>
        <v>Base Fee Applies (allows up to 7 inspections) - any additional critical stage inspections @$133 per inspection applies</v>
      </c>
      <c r="I209" s="10"/>
      <c r="J209" s="1"/>
      <c r="K209" s="1"/>
      <c r="L209" s="130" t="str">
        <f>IF(AND(C13&gt;250000,C13&lt;=1000000,K201=1,C34="Yes"),"Y","N")</f>
        <v>N</v>
      </c>
      <c r="M209" s="1">
        <f>Variables!B137</f>
        <v>790</v>
      </c>
      <c r="N209" s="69"/>
      <c r="O209" s="1"/>
      <c r="P209" s="17" t="s">
        <v>1546</v>
      </c>
      <c r="R209" s="1">
        <f>IF(C15="S68 - Relocatable/Transportable Dwelling (Permit Only)",Variables!B98,0)</f>
        <v>0</v>
      </c>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spans="1:78" hidden="1" x14ac:dyDescent="0.2">
      <c r="A210" s="2"/>
      <c r="B210" s="129"/>
      <c r="C210" s="4"/>
      <c r="D210" s="5"/>
      <c r="E210" s="6"/>
      <c r="F210" s="2"/>
      <c r="G210" s="2" t="str">
        <f>IF(AND(K201=1,C13&lt;=250000,C34="Yes",C38="Yes"),"Y","N")</f>
        <v>N</v>
      </c>
      <c r="H210" s="75" t="str">
        <f>Variables!Q17</f>
        <v>Base Fee Applies (allows up to 2 inspections) - any additional critical stage inspections @$133 per inspection applies
Section 68 inspection fees included</v>
      </c>
      <c r="I210" s="10"/>
      <c r="J210" s="1"/>
      <c r="K210" s="1"/>
      <c r="L210" s="130" t="str">
        <f>IF(AND(C13&gt;1000000,K201=1,C34="Yes"),"Y","N")</f>
        <v>N</v>
      </c>
      <c r="M210" s="1">
        <f>Variables!B138</f>
        <v>980</v>
      </c>
      <c r="N210" s="69"/>
      <c r="O210" s="1"/>
      <c r="P210" s="1"/>
      <c r="Q210" s="1"/>
      <c r="R210" s="1">
        <f>SUM(R201:R209)</f>
        <v>0</v>
      </c>
      <c r="S210" s="1">
        <f>IF(OR(C21="",C21=0),SUM(S201:S209),SUM(S201:S209)*C21)</f>
        <v>0</v>
      </c>
      <c r="T210" s="1">
        <f>IF(OR(C21="",C21=0),SUM(T201:T209),SUM(T201:T209)*C21)</f>
        <v>0</v>
      </c>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spans="1:78" hidden="1" x14ac:dyDescent="0.2">
      <c r="A211" s="2"/>
      <c r="B211" s="129"/>
      <c r="C211" s="4"/>
      <c r="D211" s="5"/>
      <c r="E211" s="6"/>
      <c r="F211" s="2"/>
      <c r="G211" s="2" t="str">
        <f>IF(AND(K201=1,C13&gt;250000,C34="Yes",C38="Yes"),"Y","N")</f>
        <v>N</v>
      </c>
      <c r="H211" s="75" t="str">
        <f>Variables!Q18</f>
        <v>Base Fee Applies (allows up to 7 inspections) - any additional critical stage inspections @$133 per inspection applies
Section 68 inspection fees included</v>
      </c>
      <c r="I211" s="10"/>
      <c r="J211" s="1"/>
      <c r="K211" s="1"/>
      <c r="M211" s="1" t="str">
        <f>IFERROR(VLOOKUP("Y",L200:M210,2,0),"")</f>
        <v/>
      </c>
      <c r="N211" s="69">
        <f>IF(AND(C15=Variables!E16,I25="Yes"),Variables!B135,0)</f>
        <v>0</v>
      </c>
      <c r="O211" s="1"/>
      <c r="P211" s="1"/>
      <c r="Q211" s="1"/>
      <c r="R211" s="1"/>
      <c r="S211" s="1"/>
      <c r="T211" s="1">
        <f>IF(C19="YES",T210,S210)</f>
        <v>0</v>
      </c>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spans="1:78" hidden="1" x14ac:dyDescent="0.2">
      <c r="A212" s="2"/>
      <c r="B212" s="129"/>
      <c r="C212" s="4"/>
      <c r="D212" s="5"/>
      <c r="E212" s="6"/>
      <c r="F212" s="2"/>
      <c r="G212" s="2" t="str">
        <f>IF(AND(C34&lt;&gt;"Yes",C38="Yes"),"Y","N")</f>
        <v>N</v>
      </c>
      <c r="H212" s="75" t="str">
        <f>Variables!Q19</f>
        <v>Section 68 Inspection fees only</v>
      </c>
      <c r="I212" s="10"/>
      <c r="J212" s="1"/>
      <c r="K212" s="1">
        <f>IF(C15=Variables!E2,1,0)</f>
        <v>0</v>
      </c>
      <c r="M212" s="1">
        <f>T211</f>
        <v>0</v>
      </c>
      <c r="N212" s="69"/>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spans="1:78" hidden="1" x14ac:dyDescent="0.2">
      <c r="A213" s="2"/>
      <c r="B213" s="129"/>
      <c r="C213" s="4"/>
      <c r="D213" s="5"/>
      <c r="E213" s="6"/>
      <c r="F213" s="2"/>
      <c r="G213" s="2"/>
      <c r="H213" s="2" t="str">
        <f>IFERROR(VLOOKUP("Y",G200:H212,2,0),"")</f>
        <v/>
      </c>
      <c r="I213" s="10"/>
      <c r="J213" s="1"/>
      <c r="K213" s="1">
        <f>IF(C15=Variables!E3,1,0)</f>
        <v>0</v>
      </c>
      <c r="L213" s="130"/>
      <c r="M213" s="1">
        <f>SUM(M211,M212,N211)</f>
        <v>0</v>
      </c>
      <c r="N213" s="69"/>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spans="1:78" hidden="1" x14ac:dyDescent="0.2">
      <c r="A214" s="2"/>
      <c r="B214" s="129"/>
      <c r="C214" s="4"/>
      <c r="D214" s="5"/>
      <c r="E214" s="6"/>
      <c r="F214" s="2"/>
      <c r="G214" s="2"/>
      <c r="H214" s="2"/>
      <c r="I214" s="10"/>
      <c r="J214" s="1"/>
      <c r="K214" s="1">
        <f>IF(C15=Variables!E6,1,0)</f>
        <v>0</v>
      </c>
      <c r="L214" s="130"/>
      <c r="M214" s="1"/>
      <c r="N214" s="69"/>
      <c r="O214" s="1"/>
      <c r="P214" s="1">
        <f>IF(C15=Variables!E2,1,0)</f>
        <v>0</v>
      </c>
      <c r="Q214" s="1">
        <f>IF(C15=Variables!E3,1,0)</f>
        <v>0</v>
      </c>
      <c r="R214" s="1">
        <f>IF(AND(Q202=90,Q204=90),1,0)</f>
        <v>0</v>
      </c>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spans="1:78" hidden="1" x14ac:dyDescent="0.2">
      <c r="A215" s="2"/>
      <c r="B215" s="129"/>
      <c r="C215" s="4"/>
      <c r="D215" s="5"/>
      <c r="E215" s="6"/>
      <c r="F215" s="2"/>
      <c r="G215" s="2"/>
      <c r="H215" s="2"/>
      <c r="I215" s="10"/>
      <c r="J215" s="1"/>
      <c r="K215" s="1">
        <f>IF(C15=Variables!E7,1,0)</f>
        <v>0</v>
      </c>
      <c r="L215" s="130"/>
      <c r="M215" s="1"/>
      <c r="N215" s="69"/>
      <c r="O215" s="1"/>
      <c r="P215" s="1">
        <f>IF(C15=Variables!E6,1,0)</f>
        <v>0</v>
      </c>
      <c r="Q215" s="1">
        <f>IF(C15=Variables!E7,1,0)</f>
        <v>0</v>
      </c>
      <c r="R215" s="1">
        <f>SUM(R214)</f>
        <v>0</v>
      </c>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spans="1:78" hidden="1" x14ac:dyDescent="0.2">
      <c r="A216" s="2"/>
      <c r="B216" s="129"/>
      <c r="C216" s="4"/>
      <c r="D216" s="5"/>
      <c r="E216" s="6"/>
      <c r="F216" s="2"/>
      <c r="G216" s="2"/>
      <c r="H216" s="2"/>
      <c r="I216" s="10"/>
      <c r="J216" s="1"/>
      <c r="K216" s="1">
        <f>IF(C15=Variables!E8,1,0)</f>
        <v>0</v>
      </c>
      <c r="L216" s="1"/>
      <c r="M216" s="1"/>
      <c r="N216" s="69"/>
      <c r="O216" s="1"/>
      <c r="P216" s="1">
        <f>IF(C15=Variables!E8,1,0)</f>
        <v>0</v>
      </c>
      <c r="Q216" s="1">
        <f>IF(C15=Variables!E12,1,0)</f>
        <v>0</v>
      </c>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spans="1:78" hidden="1" x14ac:dyDescent="0.2">
      <c r="A217" s="2"/>
      <c r="B217" s="129"/>
      <c r="C217" s="4"/>
      <c r="D217" s="5"/>
      <c r="E217" s="6"/>
      <c r="F217" s="2"/>
      <c r="G217" s="2"/>
      <c r="H217" s="2"/>
      <c r="I217" s="10"/>
      <c r="J217" s="1"/>
      <c r="K217" s="1">
        <f>IF(C15=Variables!E9,1,0)</f>
        <v>0</v>
      </c>
      <c r="L217" s="1"/>
      <c r="M217" s="1"/>
      <c r="N217" s="69"/>
      <c r="O217" s="1"/>
      <c r="P217" s="1">
        <f>IF(C15=Variables!E9,1,0)</f>
        <v>0</v>
      </c>
      <c r="Q217" s="1">
        <f>SUM(Q214:Q216)</f>
        <v>0</v>
      </c>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1:78" hidden="1" x14ac:dyDescent="0.2">
      <c r="A218" s="2"/>
      <c r="B218" s="129"/>
      <c r="C218" s="4"/>
      <c r="D218" s="5"/>
      <c r="E218" s="6"/>
      <c r="F218" s="2"/>
      <c r="G218" s="2"/>
      <c r="H218" s="2"/>
      <c r="I218" s="10"/>
      <c r="J218" s="1"/>
      <c r="K218" s="1">
        <f>IF(C15=Variables!E10,1,0)</f>
        <v>0</v>
      </c>
      <c r="L218" s="1"/>
      <c r="M218" s="1"/>
      <c r="N218" s="69"/>
      <c r="O218" s="1"/>
      <c r="P218" s="1">
        <f>IF(C15=Variables!E10,1,0)</f>
        <v>0</v>
      </c>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1:78" hidden="1" x14ac:dyDescent="0.2">
      <c r="A219" s="2"/>
      <c r="B219" s="129"/>
      <c r="C219" s="4"/>
      <c r="D219" s="5"/>
      <c r="E219" s="6"/>
      <c r="F219" s="2"/>
      <c r="G219" s="2"/>
      <c r="H219" s="2"/>
      <c r="I219" s="10"/>
      <c r="J219" s="1"/>
      <c r="K219" s="1">
        <f>IF(C15=Variables!E12,1,0)</f>
        <v>0</v>
      </c>
      <c r="L219" s="1"/>
      <c r="M219" s="1"/>
      <c r="N219" s="69"/>
      <c r="O219" s="1"/>
      <c r="P219" s="1">
        <f>IF(C15=Variables!E7,1,0)</f>
        <v>0</v>
      </c>
      <c r="Q219" s="1"/>
      <c r="R219" s="1"/>
      <c r="S219" s="1"/>
      <c r="T219" s="1">
        <f>+IF(C42="Yes",1,0)</f>
        <v>0</v>
      </c>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1:78" hidden="1" x14ac:dyDescent="0.2">
      <c r="A220" s="2"/>
      <c r="B220" s="129"/>
      <c r="C220" s="4"/>
      <c r="D220" s="5"/>
      <c r="E220" s="6"/>
      <c r="F220" s="2"/>
      <c r="G220" s="2"/>
      <c r="H220" s="2"/>
      <c r="I220" s="10"/>
      <c r="J220" s="1"/>
      <c r="K220" s="1">
        <f>IF(C15=Variables!E4,2,0)</f>
        <v>0</v>
      </c>
      <c r="L220" s="1"/>
      <c r="M220" s="1"/>
      <c r="N220" s="69"/>
      <c r="O220" s="1"/>
      <c r="P220" s="1">
        <f>IF(C15=Variables!E11,1,0)</f>
        <v>0</v>
      </c>
      <c r="Q220" s="1"/>
      <c r="R220" s="1"/>
      <c r="S220" s="1"/>
      <c r="T220" s="1">
        <f>+IF(C46="Yes",1,0)</f>
        <v>0</v>
      </c>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1:78" hidden="1" x14ac:dyDescent="0.2">
      <c r="A221" s="2"/>
      <c r="B221" s="129"/>
      <c r="C221" s="4"/>
      <c r="D221" s="5"/>
      <c r="E221" s="6"/>
      <c r="F221" s="2"/>
      <c r="G221" s="2"/>
      <c r="H221" s="2"/>
      <c r="I221" s="10"/>
      <c r="J221" s="1"/>
      <c r="K221" s="1">
        <f>IF(C15=Variables!E11,3,0)</f>
        <v>0</v>
      </c>
      <c r="L221" s="1"/>
      <c r="M221" s="1"/>
      <c r="N221" s="69"/>
      <c r="O221" s="1"/>
      <c r="P221" s="1">
        <f>SUM(P214:P220)</f>
        <v>0</v>
      </c>
      <c r="Q221" s="1"/>
      <c r="R221" s="1"/>
      <c r="S221" s="1"/>
      <c r="T221" s="1">
        <f>SUM(T219:T220)</f>
        <v>0</v>
      </c>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1:78" hidden="1" x14ac:dyDescent="0.2">
      <c r="A222" s="2"/>
      <c r="B222" s="129"/>
      <c r="C222" s="4"/>
      <c r="D222" s="5"/>
      <c r="E222" s="6"/>
      <c r="F222" s="2"/>
      <c r="G222" s="2"/>
      <c r="H222" s="2"/>
      <c r="I222" s="10"/>
      <c r="J222" s="1"/>
      <c r="K222" s="1">
        <f>SUM(K212:K221)</f>
        <v>0</v>
      </c>
      <c r="L222" s="1"/>
      <c r="M222" s="1"/>
      <c r="N222" s="69"/>
      <c r="O222" s="1"/>
      <c r="P222" s="1"/>
      <c r="Q222" s="1"/>
      <c r="R222" s="1"/>
      <c r="S222" s="1"/>
      <c r="T222" s="1" t="str">
        <f>IF(T221&gt;1,"Y","N")</f>
        <v>N</v>
      </c>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1:78" hidden="1" x14ac:dyDescent="0.2">
      <c r="A223" s="2"/>
      <c r="B223" s="129"/>
      <c r="C223" s="4"/>
      <c r="D223" s="5"/>
      <c r="E223" s="6"/>
      <c r="F223" s="2"/>
      <c r="G223" s="2"/>
      <c r="H223" s="2"/>
      <c r="I223" s="10"/>
      <c r="J223" s="1"/>
      <c r="K223" s="1"/>
      <c r="L223" s="1"/>
      <c r="M223" s="1"/>
      <c r="N223" s="69"/>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1:78" hidden="1" x14ac:dyDescent="0.2">
      <c r="A224" s="2"/>
      <c r="B224" s="129"/>
      <c r="C224" s="4"/>
      <c r="D224" s="5"/>
      <c r="E224" s="6"/>
      <c r="F224" s="2"/>
      <c r="G224" s="2"/>
      <c r="H224" s="2"/>
      <c r="I224" s="10"/>
      <c r="J224" s="1"/>
      <c r="K224" s="1"/>
      <c r="L224" s="1"/>
      <c r="M224" s="1"/>
      <c r="N224" s="69"/>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1:78" hidden="1" x14ac:dyDescent="0.2">
      <c r="A225" s="2"/>
      <c r="B225" s="129"/>
      <c r="C225" s="4"/>
      <c r="D225" s="5"/>
      <c r="E225" s="6"/>
      <c r="F225" s="2"/>
      <c r="G225" s="2"/>
      <c r="H225" s="2"/>
      <c r="I225" s="10"/>
      <c r="J225" s="1"/>
      <c r="K225" s="1"/>
      <c r="L225" s="1"/>
      <c r="M225" s="1"/>
      <c r="N225" s="69"/>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1:78" hidden="1" x14ac:dyDescent="0.2">
      <c r="A226" s="2"/>
      <c r="B226" s="129"/>
      <c r="C226" s="4"/>
      <c r="D226" s="5"/>
      <c r="E226" s="6"/>
      <c r="F226" s="2"/>
      <c r="G226" s="2"/>
      <c r="H226" s="2"/>
      <c r="I226" s="10"/>
      <c r="J226" s="1"/>
      <c r="K226" s="1"/>
      <c r="L226" s="1"/>
      <c r="M226" s="1"/>
      <c r="N226" s="69"/>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1:78" hidden="1" x14ac:dyDescent="0.2">
      <c r="A227" s="2"/>
      <c r="B227" s="129"/>
      <c r="C227" s="4"/>
      <c r="D227" s="5"/>
      <c r="E227" s="6"/>
      <c r="F227" s="2"/>
      <c r="G227" s="2"/>
      <c r="H227" s="2"/>
      <c r="I227" s="10"/>
      <c r="J227" s="1"/>
      <c r="K227" s="1"/>
      <c r="L227" s="1"/>
      <c r="M227" s="1"/>
      <c r="N227" s="69"/>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1:78" hidden="1" x14ac:dyDescent="0.2">
      <c r="A228" s="2"/>
      <c r="B228" s="129"/>
      <c r="C228" s="4"/>
      <c r="D228" s="5"/>
      <c r="E228" s="6"/>
      <c r="F228" s="2"/>
      <c r="G228" s="2"/>
      <c r="H228" s="2"/>
      <c r="I228" s="10"/>
      <c r="J228" s="1"/>
      <c r="K228" s="1"/>
      <c r="L228" s="1"/>
      <c r="M228" s="1"/>
      <c r="N228" s="69"/>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1:78" hidden="1" x14ac:dyDescent="0.2">
      <c r="A229" s="2"/>
      <c r="B229" s="129"/>
      <c r="C229" s="4"/>
      <c r="D229" s="5"/>
      <c r="E229" s="6"/>
      <c r="F229" s="2"/>
      <c r="G229" s="2"/>
      <c r="H229" s="2"/>
      <c r="I229" s="10"/>
      <c r="J229" s="1"/>
      <c r="K229" s="1"/>
      <c r="L229" s="1"/>
      <c r="M229" s="1"/>
      <c r="N229" s="69"/>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1:78" hidden="1" x14ac:dyDescent="0.2">
      <c r="A230" s="2"/>
      <c r="B230" s="129"/>
      <c r="C230" s="4"/>
      <c r="D230" s="5"/>
      <c r="E230" s="6"/>
      <c r="F230" s="2"/>
      <c r="G230" s="2"/>
      <c r="H230" s="2"/>
      <c r="I230" s="10"/>
      <c r="J230" s="1"/>
      <c r="K230" s="1"/>
      <c r="L230" s="1"/>
      <c r="M230" s="1"/>
      <c r="N230" s="69"/>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1:78" hidden="1" x14ac:dyDescent="0.2">
      <c r="A231" s="2"/>
      <c r="B231" s="129"/>
      <c r="C231" s="4"/>
      <c r="D231" s="5"/>
      <c r="E231" s="6"/>
      <c r="F231" s="2"/>
      <c r="G231" s="2"/>
      <c r="H231" s="2"/>
      <c r="I231" s="10"/>
      <c r="J231" s="1"/>
      <c r="K231" s="1"/>
      <c r="L231" s="1"/>
      <c r="M231" s="1"/>
      <c r="N231" s="69"/>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1:78" hidden="1" x14ac:dyDescent="0.2">
      <c r="A232" s="2"/>
      <c r="B232" s="129"/>
      <c r="C232" s="4"/>
      <c r="D232" s="5"/>
      <c r="E232" s="6"/>
      <c r="F232" s="2"/>
      <c r="G232" s="2"/>
      <c r="H232" s="2"/>
      <c r="I232" s="10"/>
      <c r="J232" s="1"/>
      <c r="K232" s="1"/>
      <c r="L232" s="1"/>
      <c r="M232" s="1"/>
      <c r="N232" s="69"/>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1:78" hidden="1" x14ac:dyDescent="0.2">
      <c r="A233" s="2"/>
      <c r="B233" s="129"/>
      <c r="C233" s="4"/>
      <c r="D233" s="5"/>
      <c r="E233" s="6"/>
      <c r="F233" s="2"/>
      <c r="G233" s="2"/>
      <c r="H233" s="2"/>
      <c r="I233" s="10"/>
      <c r="J233" s="1"/>
      <c r="K233" s="1"/>
      <c r="L233" s="1"/>
      <c r="M233" s="1"/>
      <c r="N233" s="69"/>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1:78" hidden="1" x14ac:dyDescent="0.2">
      <c r="A234" s="2"/>
      <c r="B234" s="129"/>
      <c r="C234" s="4"/>
      <c r="D234" s="5"/>
      <c r="E234" s="6"/>
      <c r="F234" s="2"/>
      <c r="G234" s="2"/>
      <c r="H234" s="2"/>
      <c r="I234" s="10"/>
      <c r="J234" s="1"/>
      <c r="K234" s="1"/>
      <c r="L234" s="1"/>
      <c r="M234" s="1"/>
      <c r="N234" s="69"/>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1:78" hidden="1" x14ac:dyDescent="0.2">
      <c r="A235" s="2"/>
      <c r="B235" s="129"/>
      <c r="C235" s="4"/>
      <c r="D235" s="5"/>
      <c r="E235" s="6"/>
      <c r="F235" s="2"/>
      <c r="G235" s="2"/>
      <c r="H235" s="2"/>
      <c r="I235" s="10"/>
      <c r="J235" s="1"/>
      <c r="K235" s="1"/>
      <c r="L235" s="1"/>
      <c r="M235" s="1"/>
      <c r="N235" s="69"/>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1:78" hidden="1" x14ac:dyDescent="0.2">
      <c r="A236" s="2"/>
      <c r="B236" s="129"/>
      <c r="C236" s="4"/>
      <c r="D236" s="5"/>
      <c r="E236" s="6"/>
      <c r="F236" s="2"/>
      <c r="G236" s="2"/>
      <c r="H236" s="2"/>
      <c r="I236" s="10"/>
      <c r="J236" s="1"/>
      <c r="K236" s="1"/>
      <c r="L236" s="1"/>
      <c r="M236" s="1"/>
      <c r="N236" s="69"/>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1:78" hidden="1" x14ac:dyDescent="0.2">
      <c r="A237" s="2"/>
      <c r="B237" s="129"/>
      <c r="C237" s="4"/>
      <c r="D237" s="5"/>
      <c r="E237" s="6"/>
      <c r="F237" s="2"/>
      <c r="G237" s="2"/>
      <c r="H237" s="2"/>
      <c r="I237" s="10"/>
      <c r="J237" s="1"/>
      <c r="K237" s="1"/>
      <c r="L237" s="1"/>
      <c r="M237" s="1"/>
      <c r="N237" s="69"/>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1:78" hidden="1" x14ac:dyDescent="0.2">
      <c r="A238" s="2"/>
      <c r="B238" s="129"/>
      <c r="C238" s="4"/>
      <c r="D238" s="5"/>
      <c r="E238" s="6"/>
      <c r="F238" s="2"/>
      <c r="G238" s="2"/>
      <c r="H238" s="2"/>
      <c r="I238" s="10"/>
      <c r="J238" s="1"/>
      <c r="K238" s="1"/>
      <c r="L238" s="1"/>
      <c r="M238" s="1"/>
      <c r="N238" s="69"/>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1:78" hidden="1" x14ac:dyDescent="0.2">
      <c r="A239" s="2"/>
      <c r="B239" s="129"/>
      <c r="C239" s="4"/>
      <c r="D239" s="5"/>
      <c r="E239" s="6"/>
      <c r="F239" s="2"/>
      <c r="G239" s="2"/>
      <c r="H239" s="2"/>
      <c r="I239" s="10"/>
      <c r="J239" s="1"/>
      <c r="K239" s="1"/>
      <c r="L239" s="1"/>
      <c r="M239" s="1"/>
      <c r="N239" s="69"/>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1:78" hidden="1" x14ac:dyDescent="0.2">
      <c r="A240" s="2"/>
      <c r="B240" s="129"/>
      <c r="C240" s="4"/>
      <c r="D240" s="5"/>
      <c r="E240" s="6"/>
      <c r="F240" s="2"/>
      <c r="G240" s="2"/>
      <c r="H240" s="2"/>
      <c r="I240" s="10"/>
      <c r="J240" s="1"/>
      <c r="K240" s="1"/>
      <c r="L240" s="1"/>
      <c r="M240" s="1"/>
      <c r="N240" s="69"/>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1:78" hidden="1" x14ac:dyDescent="0.2">
      <c r="A241" s="2"/>
      <c r="B241" s="129"/>
      <c r="C241" s="4"/>
      <c r="D241" s="5"/>
      <c r="E241" s="6"/>
      <c r="F241" s="2"/>
      <c r="G241" s="2"/>
      <c r="H241" s="2"/>
      <c r="I241" s="10"/>
      <c r="J241" s="1"/>
      <c r="K241" s="1"/>
      <c r="L241" s="1"/>
      <c r="M241" s="1"/>
      <c r="N241" s="69"/>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1:78" hidden="1" x14ac:dyDescent="0.2">
      <c r="A242" s="2"/>
      <c r="B242" s="129"/>
      <c r="C242" s="4"/>
      <c r="D242" s="5"/>
      <c r="E242" s="6"/>
      <c r="F242" s="2"/>
      <c r="G242" s="2"/>
      <c r="H242" s="2"/>
      <c r="I242" s="10"/>
      <c r="J242" s="1"/>
      <c r="K242" s="1"/>
      <c r="L242" s="1"/>
      <c r="M242" s="1"/>
      <c r="N242" s="69"/>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1:78" hidden="1" x14ac:dyDescent="0.2">
      <c r="A243" s="2"/>
      <c r="B243" s="129"/>
      <c r="C243" s="4"/>
      <c r="D243" s="5"/>
      <c r="E243" s="6"/>
      <c r="F243" s="2"/>
      <c r="G243" s="2"/>
      <c r="H243" s="2"/>
      <c r="I243" s="10"/>
      <c r="J243" s="1"/>
      <c r="K243" s="1"/>
      <c r="L243" s="1"/>
      <c r="M243" s="1"/>
      <c r="N243" s="69"/>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1:78" hidden="1" x14ac:dyDescent="0.2">
      <c r="A244" s="2"/>
      <c r="B244" s="129"/>
      <c r="C244" s="4"/>
      <c r="D244" s="5"/>
      <c r="E244" s="6"/>
      <c r="F244" s="2"/>
      <c r="G244" s="2"/>
      <c r="H244" s="2"/>
      <c r="I244" s="10"/>
      <c r="J244" s="1"/>
      <c r="K244" s="1"/>
      <c r="L244" s="1"/>
      <c r="M244" s="1"/>
      <c r="N244" s="69"/>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1:78" hidden="1" x14ac:dyDescent="0.2">
      <c r="A245" s="2"/>
      <c r="B245" s="129"/>
      <c r="C245" s="4"/>
      <c r="D245" s="5"/>
      <c r="E245" s="6"/>
      <c r="F245" s="2"/>
      <c r="G245" s="2"/>
      <c r="H245" s="2"/>
      <c r="I245" s="10"/>
      <c r="J245" s="1"/>
      <c r="K245" s="1"/>
      <c r="L245" s="1"/>
      <c r="M245" s="1"/>
      <c r="N245" s="69"/>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1:78" hidden="1" x14ac:dyDescent="0.2">
      <c r="A246" s="2"/>
      <c r="B246" s="129"/>
      <c r="C246" s="4"/>
      <c r="D246" s="5"/>
      <c r="E246" s="6"/>
      <c r="F246" s="2"/>
      <c r="G246" s="2"/>
      <c r="H246" s="2"/>
      <c r="I246" s="10"/>
      <c r="J246" s="1"/>
      <c r="K246" s="1"/>
      <c r="L246" s="1"/>
      <c r="M246" s="1"/>
      <c r="N246" s="69"/>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1:78" hidden="1" x14ac:dyDescent="0.2">
      <c r="A247" s="2"/>
      <c r="B247" s="129"/>
      <c r="C247" s="4"/>
      <c r="D247" s="5"/>
      <c r="E247" s="6"/>
      <c r="F247" s="2"/>
      <c r="G247" s="2"/>
      <c r="H247" s="2"/>
      <c r="I247" s="10"/>
      <c r="J247" s="1"/>
      <c r="K247" s="1"/>
      <c r="L247" s="1"/>
      <c r="M247" s="1"/>
      <c r="N247" s="69"/>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1:78" hidden="1" x14ac:dyDescent="0.2">
      <c r="A248" s="2"/>
      <c r="B248" s="129"/>
      <c r="C248" s="4"/>
      <c r="D248" s="5"/>
      <c r="E248" s="6"/>
      <c r="F248" s="2"/>
      <c r="G248" s="2"/>
      <c r="H248" s="2"/>
      <c r="I248" s="10"/>
      <c r="J248" s="1"/>
      <c r="K248" s="1"/>
      <c r="L248" s="1"/>
      <c r="M248" s="1"/>
      <c r="N248" s="69"/>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1:78" hidden="1" x14ac:dyDescent="0.2">
      <c r="A249" s="2"/>
      <c r="B249" s="129"/>
      <c r="C249" s="4"/>
      <c r="D249" s="5"/>
      <c r="E249" s="6"/>
      <c r="F249" s="2"/>
      <c r="G249" s="2"/>
      <c r="H249" s="2"/>
      <c r="I249" s="10"/>
      <c r="J249" s="1"/>
      <c r="K249" s="1"/>
      <c r="L249" s="1"/>
      <c r="M249" s="1"/>
      <c r="N249" s="69"/>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1:78" hidden="1" x14ac:dyDescent="0.2">
      <c r="A250" s="2"/>
      <c r="B250" s="129"/>
      <c r="C250" s="4"/>
      <c r="D250" s="5"/>
      <c r="E250" s="6"/>
      <c r="F250" s="2"/>
      <c r="G250" s="2"/>
      <c r="H250" s="2"/>
      <c r="I250" s="10"/>
      <c r="J250" s="1"/>
      <c r="K250" s="1"/>
      <c r="L250" s="1"/>
      <c r="M250" s="1"/>
      <c r="N250" s="69"/>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1:78" hidden="1" x14ac:dyDescent="0.2">
      <c r="A251" s="2"/>
      <c r="B251" s="129"/>
      <c r="C251" s="4"/>
      <c r="D251" s="5"/>
      <c r="E251" s="6"/>
      <c r="F251" s="2"/>
      <c r="G251" s="2"/>
      <c r="H251" s="2"/>
      <c r="I251" s="10"/>
      <c r="J251" s="1"/>
      <c r="K251" s="1"/>
      <c r="L251" s="1"/>
      <c r="M251" s="1"/>
      <c r="N251" s="69"/>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1:78" hidden="1" x14ac:dyDescent="0.2">
      <c r="A252" s="2"/>
      <c r="B252" s="129"/>
      <c r="C252" s="4"/>
      <c r="D252" s="5"/>
      <c r="E252" s="6"/>
      <c r="F252" s="2"/>
      <c r="G252" s="2"/>
      <c r="H252" s="2"/>
      <c r="I252" s="10"/>
      <c r="J252" s="1"/>
      <c r="K252" s="1"/>
      <c r="L252" s="1"/>
      <c r="M252" s="1"/>
      <c r="N252" s="69"/>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1:78" hidden="1" x14ac:dyDescent="0.2">
      <c r="A253" s="2"/>
      <c r="B253" s="129"/>
      <c r="C253" s="4"/>
      <c r="D253" s="5"/>
      <c r="E253" s="6"/>
      <c r="F253" s="2"/>
      <c r="G253" s="2"/>
      <c r="H253" s="2"/>
      <c r="I253" s="10"/>
      <c r="J253" s="1"/>
      <c r="K253" s="1"/>
      <c r="L253" s="1"/>
      <c r="M253" s="1"/>
      <c r="N253" s="69"/>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1:78" hidden="1" x14ac:dyDescent="0.2">
      <c r="A254" s="2"/>
      <c r="B254" s="129"/>
      <c r="C254" s="4"/>
      <c r="D254" s="5"/>
      <c r="E254" s="6"/>
      <c r="F254" s="2"/>
      <c r="G254" s="2"/>
      <c r="H254" s="2"/>
      <c r="I254" s="10"/>
      <c r="J254" s="1"/>
      <c r="K254" s="1"/>
      <c r="L254" s="1"/>
      <c r="M254" s="1"/>
      <c r="N254" s="69"/>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1:78" hidden="1" x14ac:dyDescent="0.2">
      <c r="A255" s="2"/>
      <c r="B255" s="129"/>
      <c r="C255" s="4"/>
      <c r="D255" s="5"/>
      <c r="E255" s="6"/>
      <c r="F255" s="2"/>
      <c r="G255" s="2"/>
      <c r="H255" s="2"/>
      <c r="I255" s="10"/>
      <c r="J255" s="1"/>
      <c r="K255" s="1"/>
      <c r="L255" s="1"/>
      <c r="M255" s="1"/>
      <c r="N255" s="69"/>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1:78" hidden="1" x14ac:dyDescent="0.2">
      <c r="A256" s="2"/>
      <c r="B256" s="129"/>
      <c r="C256" s="4"/>
      <c r="D256" s="5"/>
      <c r="E256" s="6"/>
      <c r="F256" s="2"/>
      <c r="G256" s="2"/>
      <c r="H256" s="2"/>
      <c r="I256" s="10"/>
      <c r="J256" s="1"/>
      <c r="K256" s="1"/>
      <c r="L256" s="1"/>
      <c r="M256" s="1"/>
      <c r="N256" s="69"/>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1:78" hidden="1" x14ac:dyDescent="0.2">
      <c r="A257" s="2"/>
      <c r="B257" s="129"/>
      <c r="C257" s="4"/>
      <c r="D257" s="5"/>
      <c r="E257" s="6"/>
      <c r="F257" s="2"/>
      <c r="G257" s="2"/>
      <c r="H257" s="2"/>
      <c r="I257" s="10"/>
      <c r="J257" s="1"/>
      <c r="K257" s="1"/>
      <c r="L257" s="1"/>
      <c r="M257" s="1"/>
      <c r="N257" s="69"/>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1:78" hidden="1" x14ac:dyDescent="0.2">
      <c r="A258" s="2"/>
      <c r="B258" s="129"/>
      <c r="C258" s="4"/>
      <c r="D258" s="5"/>
      <c r="E258" s="6"/>
      <c r="F258" s="2"/>
      <c r="G258" s="2"/>
      <c r="H258" s="2"/>
      <c r="I258" s="10"/>
      <c r="J258" s="1"/>
      <c r="K258" s="1"/>
      <c r="L258" s="1"/>
      <c r="M258" s="1"/>
      <c r="N258" s="69"/>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1:78" hidden="1" x14ac:dyDescent="0.2">
      <c r="A259" s="2"/>
      <c r="B259" s="129"/>
      <c r="C259" s="4"/>
      <c r="D259" s="5"/>
      <c r="E259" s="6"/>
      <c r="F259" s="2"/>
      <c r="G259" s="2"/>
      <c r="H259" s="2"/>
      <c r="I259" s="10"/>
      <c r="J259" s="1"/>
      <c r="K259" s="1"/>
      <c r="L259" s="1"/>
      <c r="M259" s="1"/>
      <c r="N259" s="69"/>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1:78" hidden="1" x14ac:dyDescent="0.2">
      <c r="A260" s="2"/>
      <c r="B260" s="129"/>
      <c r="C260" s="4"/>
      <c r="D260" s="5"/>
      <c r="E260" s="6"/>
      <c r="F260" s="2"/>
      <c r="G260" s="2"/>
      <c r="H260" s="2"/>
      <c r="I260" s="10"/>
      <c r="J260" s="1"/>
      <c r="K260" s="1"/>
      <c r="L260" s="1"/>
      <c r="M260" s="1"/>
      <c r="N260" s="69"/>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1:78" hidden="1" x14ac:dyDescent="0.2">
      <c r="A261" s="2"/>
      <c r="B261" s="129"/>
      <c r="C261" s="4"/>
      <c r="D261" s="5"/>
      <c r="E261" s="6"/>
      <c r="F261" s="2"/>
      <c r="G261" s="2"/>
      <c r="H261" s="2"/>
      <c r="I261" s="10"/>
      <c r="J261" s="1"/>
      <c r="K261" s="1"/>
      <c r="L261" s="1"/>
      <c r="M261" s="1"/>
      <c r="N261" s="69"/>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1:78" hidden="1" x14ac:dyDescent="0.2">
      <c r="A262" s="2"/>
      <c r="B262" s="129"/>
      <c r="C262" s="4"/>
      <c r="D262" s="5"/>
      <c r="E262" s="6"/>
      <c r="F262" s="2"/>
      <c r="G262" s="2"/>
      <c r="H262" s="2"/>
      <c r="I262" s="10"/>
      <c r="J262" s="1"/>
      <c r="K262" s="1"/>
      <c r="L262" s="1"/>
      <c r="M262" s="1"/>
      <c r="N262" s="69"/>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1:78" hidden="1" x14ac:dyDescent="0.2">
      <c r="A263" s="2"/>
      <c r="B263" s="129"/>
      <c r="C263" s="4"/>
      <c r="D263" s="5"/>
      <c r="E263" s="6"/>
      <c r="F263" s="2"/>
      <c r="G263" s="2"/>
      <c r="H263" s="2"/>
      <c r="I263" s="10"/>
      <c r="J263" s="1"/>
      <c r="K263" s="1"/>
      <c r="L263" s="1"/>
      <c r="M263" s="1"/>
      <c r="N263" s="69"/>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1:78" hidden="1" x14ac:dyDescent="0.2">
      <c r="A264" s="2"/>
      <c r="B264" s="129"/>
      <c r="C264" s="4"/>
      <c r="D264" s="5"/>
      <c r="E264" s="6"/>
      <c r="F264" s="2"/>
      <c r="G264" s="2"/>
      <c r="H264" s="2"/>
      <c r="I264" s="10"/>
      <c r="J264" s="1"/>
      <c r="K264" s="1"/>
      <c r="L264" s="1"/>
      <c r="M264" s="1"/>
      <c r="N264" s="69"/>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1:78" hidden="1" x14ac:dyDescent="0.2">
      <c r="A265" s="2"/>
      <c r="B265" s="129"/>
      <c r="C265" s="4"/>
      <c r="D265" s="5"/>
      <c r="E265" s="6"/>
      <c r="F265" s="2"/>
      <c r="G265" s="2"/>
      <c r="H265" s="2"/>
      <c r="I265" s="10"/>
      <c r="J265" s="1"/>
      <c r="K265" s="1"/>
      <c r="L265" s="1"/>
      <c r="M265" s="1"/>
      <c r="N265" s="69"/>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1:78" hidden="1" x14ac:dyDescent="0.2">
      <c r="A266" s="2"/>
      <c r="B266" s="129"/>
      <c r="C266" s="4"/>
      <c r="D266" s="5"/>
      <c r="E266" s="6"/>
      <c r="F266" s="2"/>
      <c r="G266" s="2"/>
      <c r="H266" s="2"/>
      <c r="I266" s="10"/>
      <c r="J266" s="1"/>
      <c r="K266" s="1"/>
      <c r="L266" s="1"/>
      <c r="M266" s="1"/>
      <c r="N266" s="69"/>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1:78" hidden="1" x14ac:dyDescent="0.2">
      <c r="A267" s="2"/>
      <c r="B267" s="129"/>
      <c r="C267" s="4"/>
      <c r="D267" s="5"/>
      <c r="E267" s="6"/>
      <c r="F267" s="2"/>
      <c r="G267" s="2"/>
      <c r="H267" s="2"/>
      <c r="I267" s="10"/>
      <c r="J267" s="1"/>
      <c r="K267" s="1"/>
      <c r="L267" s="1"/>
      <c r="M267" s="1"/>
      <c r="N267" s="69"/>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1:78" hidden="1" x14ac:dyDescent="0.2">
      <c r="A268" s="2"/>
      <c r="B268" s="129"/>
      <c r="C268" s="4"/>
      <c r="D268" s="5"/>
      <c r="E268" s="6"/>
      <c r="F268" s="2"/>
      <c r="G268" s="2"/>
      <c r="H268" s="2"/>
      <c r="I268" s="10"/>
      <c r="J268" s="1"/>
      <c r="K268" s="1"/>
      <c r="L268" s="1"/>
      <c r="M268" s="1"/>
      <c r="N268" s="69"/>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1:78" hidden="1" x14ac:dyDescent="0.2">
      <c r="A269" s="2"/>
      <c r="B269" s="129"/>
      <c r="C269" s="4"/>
      <c r="D269" s="5"/>
      <c r="E269" s="6"/>
      <c r="F269" s="2"/>
      <c r="G269" s="2"/>
      <c r="H269" s="2"/>
      <c r="I269" s="10"/>
      <c r="J269" s="1"/>
      <c r="K269" s="1"/>
      <c r="L269" s="1"/>
      <c r="M269" s="1"/>
      <c r="N269" s="69"/>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1:78" hidden="1" x14ac:dyDescent="0.2">
      <c r="A270" s="2"/>
      <c r="B270" s="129"/>
      <c r="C270" s="4"/>
      <c r="D270" s="5"/>
      <c r="E270" s="6"/>
      <c r="F270" s="2"/>
      <c r="G270" s="2"/>
      <c r="H270" s="2"/>
      <c r="I270" s="10"/>
      <c r="J270" s="1"/>
      <c r="K270" s="1"/>
      <c r="L270" s="1"/>
      <c r="M270" s="1"/>
      <c r="N270" s="69"/>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1:78" hidden="1" x14ac:dyDescent="0.2">
      <c r="A271" s="2"/>
      <c r="B271" s="129"/>
      <c r="C271" s="4"/>
      <c r="D271" s="5"/>
      <c r="E271" s="6"/>
      <c r="F271" s="2"/>
      <c r="G271" s="2"/>
      <c r="H271" s="2"/>
      <c r="I271" s="10"/>
      <c r="J271" s="1"/>
      <c r="K271" s="1"/>
      <c r="L271" s="1"/>
      <c r="M271" s="1"/>
      <c r="N271" s="69"/>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1:78" hidden="1" x14ac:dyDescent="0.2">
      <c r="A272" s="2"/>
      <c r="B272" s="129"/>
      <c r="C272" s="4"/>
      <c r="D272" s="5"/>
      <c r="E272" s="6"/>
      <c r="F272" s="2"/>
      <c r="G272" s="2"/>
      <c r="H272" s="2"/>
      <c r="I272" s="10"/>
      <c r="J272" s="1"/>
      <c r="K272" s="1"/>
      <c r="L272" s="1"/>
      <c r="M272" s="1"/>
      <c r="N272" s="69"/>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1:78" hidden="1" x14ac:dyDescent="0.2">
      <c r="A273" s="2"/>
      <c r="B273" s="129"/>
      <c r="C273" s="4"/>
      <c r="D273" s="5"/>
      <c r="E273" s="6"/>
      <c r="F273" s="2"/>
      <c r="G273" s="2"/>
      <c r="H273" s="2"/>
      <c r="I273" s="10"/>
      <c r="J273" s="1"/>
      <c r="K273" s="1"/>
      <c r="L273" s="1"/>
      <c r="M273" s="1"/>
      <c r="N273" s="69"/>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1:78" hidden="1" x14ac:dyDescent="0.2">
      <c r="A274" s="2"/>
      <c r="B274" s="129"/>
      <c r="C274" s="4"/>
      <c r="D274" s="5"/>
      <c r="E274" s="6"/>
      <c r="F274" s="2"/>
      <c r="G274" s="2"/>
      <c r="H274" s="2"/>
      <c r="I274" s="10"/>
      <c r="J274" s="1"/>
      <c r="K274" s="1"/>
      <c r="L274" s="1"/>
      <c r="M274" s="1"/>
      <c r="N274" s="69"/>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1:78" hidden="1" x14ac:dyDescent="0.2">
      <c r="A275" s="2"/>
      <c r="B275" s="129"/>
      <c r="C275" s="4"/>
      <c r="D275" s="5"/>
      <c r="E275" s="6"/>
      <c r="F275" s="2"/>
      <c r="G275" s="2"/>
      <c r="H275" s="2"/>
      <c r="I275" s="10"/>
      <c r="J275" s="1"/>
      <c r="K275" s="1"/>
      <c r="L275" s="1"/>
      <c r="M275" s="1"/>
      <c r="N275" s="69"/>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1:78" hidden="1" x14ac:dyDescent="0.2">
      <c r="A276" s="2"/>
      <c r="B276" s="129"/>
      <c r="C276" s="4"/>
      <c r="D276" s="5"/>
      <c r="E276" s="6"/>
      <c r="F276" s="2"/>
      <c r="G276" s="2"/>
      <c r="H276" s="2"/>
      <c r="I276" s="10"/>
      <c r="J276" s="1"/>
      <c r="K276" s="1"/>
      <c r="L276" s="1"/>
      <c r="M276" s="1"/>
      <c r="N276" s="69"/>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1:78" hidden="1" x14ac:dyDescent="0.2">
      <c r="A277" s="2"/>
      <c r="B277" s="129"/>
      <c r="C277" s="4"/>
      <c r="D277" s="5"/>
      <c r="E277" s="6"/>
      <c r="F277" s="2"/>
      <c r="G277" s="2"/>
      <c r="H277" s="2"/>
      <c r="I277" s="10"/>
      <c r="J277" s="1"/>
      <c r="K277" s="1"/>
      <c r="L277" s="1"/>
      <c r="M277" s="1"/>
      <c r="N277" s="69"/>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1:78" hidden="1" x14ac:dyDescent="0.2">
      <c r="A278" s="2"/>
      <c r="B278" s="129"/>
      <c r="C278" s="4"/>
      <c r="D278" s="5"/>
      <c r="E278" s="6"/>
      <c r="F278" s="2"/>
      <c r="G278" s="2"/>
      <c r="H278" s="2"/>
      <c r="I278" s="10"/>
      <c r="J278" s="1"/>
      <c r="K278" s="1"/>
      <c r="L278" s="1"/>
      <c r="M278" s="1"/>
      <c r="N278" s="69"/>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1:78" hidden="1" x14ac:dyDescent="0.2">
      <c r="A279" s="2"/>
      <c r="B279" s="129"/>
      <c r="C279" s="4"/>
      <c r="D279" s="5"/>
      <c r="E279" s="6"/>
      <c r="F279" s="2"/>
      <c r="G279" s="2"/>
      <c r="H279" s="2"/>
      <c r="I279" s="10"/>
      <c r="J279" s="1"/>
      <c r="K279" s="1"/>
      <c r="L279" s="1"/>
      <c r="M279" s="1"/>
      <c r="N279" s="69"/>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1:78" hidden="1" x14ac:dyDescent="0.2">
      <c r="A280" s="2"/>
      <c r="B280" s="129"/>
      <c r="C280" s="4"/>
      <c r="D280" s="5"/>
      <c r="E280" s="6"/>
      <c r="F280" s="2"/>
      <c r="G280" s="2"/>
      <c r="H280" s="2"/>
      <c r="I280" s="10"/>
      <c r="J280" s="1"/>
      <c r="K280" s="1"/>
      <c r="L280" s="1"/>
      <c r="M280" s="1"/>
      <c r="N280" s="69"/>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1:78" hidden="1" x14ac:dyDescent="0.2">
      <c r="A281" s="2"/>
      <c r="B281" s="129"/>
      <c r="C281" s="4"/>
      <c r="D281" s="5"/>
      <c r="E281" s="6"/>
      <c r="F281" s="2"/>
      <c r="G281" s="2"/>
      <c r="H281" s="2"/>
      <c r="I281" s="10"/>
      <c r="J281" s="1"/>
      <c r="K281" s="1"/>
      <c r="L281" s="1"/>
      <c r="M281" s="1"/>
      <c r="N281" s="69"/>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1:78" hidden="1" x14ac:dyDescent="0.2">
      <c r="A282" s="2"/>
      <c r="B282" s="129"/>
      <c r="C282" s="4"/>
      <c r="D282" s="5"/>
      <c r="E282" s="6"/>
      <c r="F282" s="2"/>
      <c r="G282" s="2"/>
      <c r="H282" s="2"/>
      <c r="I282" s="10"/>
      <c r="J282" s="1"/>
      <c r="K282" s="1"/>
      <c r="L282" s="1"/>
      <c r="M282" s="1"/>
      <c r="N282" s="69"/>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1:78" hidden="1" x14ac:dyDescent="0.2">
      <c r="A283" s="2"/>
      <c r="B283" s="129"/>
      <c r="C283" s="4"/>
      <c r="D283" s="5"/>
      <c r="E283" s="6"/>
      <c r="F283" s="2"/>
      <c r="G283" s="2"/>
      <c r="H283" s="2"/>
      <c r="I283" s="10"/>
      <c r="J283" s="1"/>
      <c r="K283" s="1"/>
      <c r="L283" s="1"/>
      <c r="M283" s="1"/>
      <c r="N283" s="69"/>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1:78" hidden="1" x14ac:dyDescent="0.2">
      <c r="A284" s="2"/>
      <c r="B284" s="129"/>
      <c r="C284" s="4"/>
      <c r="D284" s="5"/>
      <c r="E284" s="6"/>
      <c r="F284" s="2"/>
      <c r="G284" s="2"/>
      <c r="H284" s="2"/>
      <c r="I284" s="10"/>
      <c r="J284" s="1"/>
      <c r="K284" s="1"/>
      <c r="L284" s="1"/>
      <c r="M284" s="1"/>
      <c r="N284" s="69"/>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1:78" hidden="1" x14ac:dyDescent="0.2">
      <c r="A285" s="2"/>
      <c r="B285" s="129"/>
      <c r="C285" s="4"/>
      <c r="D285" s="5"/>
      <c r="E285" s="6"/>
      <c r="F285" s="2"/>
      <c r="G285" s="2"/>
      <c r="H285" s="2"/>
      <c r="I285" s="10"/>
      <c r="J285" s="1"/>
      <c r="K285" s="1"/>
      <c r="L285" s="1"/>
      <c r="M285" s="1"/>
      <c r="N285" s="69"/>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1:78" hidden="1" x14ac:dyDescent="0.2">
      <c r="A286" s="2"/>
      <c r="B286" s="129"/>
      <c r="C286" s="4"/>
      <c r="D286" s="5"/>
      <c r="E286" s="6"/>
      <c r="F286" s="2"/>
      <c r="G286" s="2"/>
      <c r="H286" s="2"/>
      <c r="I286" s="10"/>
      <c r="J286" s="1"/>
      <c r="K286" s="1"/>
      <c r="L286" s="1"/>
      <c r="M286" s="1"/>
      <c r="N286" s="69"/>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1:78" hidden="1" x14ac:dyDescent="0.2">
      <c r="A287" s="2"/>
      <c r="B287" s="129"/>
      <c r="C287" s="4"/>
      <c r="D287" s="5"/>
      <c r="E287" s="6"/>
      <c r="F287" s="2"/>
      <c r="G287" s="2"/>
      <c r="H287" s="2"/>
      <c r="I287" s="10"/>
      <c r="J287" s="1"/>
      <c r="K287" s="1"/>
      <c r="L287" s="1"/>
      <c r="M287" s="1"/>
      <c r="N287" s="69"/>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1:78" hidden="1" x14ac:dyDescent="0.2">
      <c r="A288" s="2"/>
      <c r="B288" s="129"/>
      <c r="C288" s="4"/>
      <c r="D288" s="5"/>
      <c r="E288" s="6"/>
      <c r="F288" s="2"/>
      <c r="G288" s="2"/>
      <c r="H288" s="2"/>
      <c r="I288" s="10"/>
      <c r="J288" s="1"/>
      <c r="K288" s="1"/>
      <c r="L288" s="1"/>
      <c r="M288" s="1"/>
      <c r="N288" s="69"/>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1:78" hidden="1" x14ac:dyDescent="0.2">
      <c r="A289" s="2"/>
      <c r="B289" s="129"/>
      <c r="C289" s="4"/>
      <c r="D289" s="5"/>
      <c r="E289" s="6"/>
      <c r="F289" s="2"/>
      <c r="G289" s="2"/>
      <c r="H289" s="2"/>
      <c r="I289" s="10"/>
      <c r="J289" s="1"/>
      <c r="K289" s="1"/>
      <c r="L289" s="1"/>
      <c r="M289" s="1"/>
      <c r="N289" s="69"/>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1:78" hidden="1" x14ac:dyDescent="0.2">
      <c r="A290" s="2"/>
      <c r="B290" s="129"/>
      <c r="C290" s="4"/>
      <c r="D290" s="5"/>
      <c r="E290" s="6"/>
      <c r="F290" s="2"/>
      <c r="G290" s="2"/>
      <c r="H290" s="2"/>
      <c r="I290" s="10"/>
      <c r="J290" s="1"/>
      <c r="K290" s="1"/>
      <c r="L290" s="1"/>
      <c r="M290" s="1"/>
      <c r="N290" s="69"/>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1:78" hidden="1" x14ac:dyDescent="0.2">
      <c r="A291" s="2"/>
      <c r="B291" s="129"/>
      <c r="C291" s="4"/>
      <c r="D291" s="5"/>
      <c r="E291" s="6"/>
      <c r="F291" s="2"/>
      <c r="G291" s="2"/>
      <c r="H291" s="2"/>
      <c r="I291" s="10"/>
      <c r="J291" s="1"/>
      <c r="K291" s="1"/>
      <c r="L291" s="1"/>
      <c r="M291" s="1"/>
      <c r="N291" s="69"/>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1:78" hidden="1" x14ac:dyDescent="0.2">
      <c r="A292" s="2"/>
      <c r="B292" s="129"/>
      <c r="C292" s="4"/>
      <c r="D292" s="5"/>
      <c r="E292" s="6"/>
      <c r="F292" s="2"/>
      <c r="G292" s="2"/>
      <c r="H292" s="2"/>
      <c r="I292" s="10"/>
      <c r="J292" s="1"/>
      <c r="K292" s="1"/>
      <c r="L292" s="1"/>
      <c r="M292" s="1"/>
      <c r="N292" s="69"/>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1:78" hidden="1" x14ac:dyDescent="0.2">
      <c r="A293" s="2"/>
      <c r="B293" s="129"/>
      <c r="C293" s="4"/>
      <c r="D293" s="5"/>
      <c r="E293" s="6"/>
      <c r="F293" s="2"/>
      <c r="G293" s="2"/>
      <c r="H293" s="2"/>
      <c r="I293" s="10"/>
      <c r="J293" s="1"/>
      <c r="K293" s="1"/>
      <c r="L293" s="1"/>
      <c r="M293" s="1"/>
      <c r="N293" s="69"/>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1:78" hidden="1" x14ac:dyDescent="0.2">
      <c r="A294" s="2"/>
      <c r="B294" s="129"/>
      <c r="C294" s="4"/>
      <c r="D294" s="5"/>
      <c r="E294" s="6"/>
      <c r="F294" s="2"/>
      <c r="G294" s="2"/>
      <c r="H294" s="2"/>
      <c r="I294" s="10"/>
      <c r="J294" s="1"/>
      <c r="K294" s="1"/>
      <c r="L294" s="1"/>
      <c r="M294" s="1"/>
      <c r="N294" s="69"/>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1:78" hidden="1" x14ac:dyDescent="0.2">
      <c r="A295" s="2"/>
      <c r="B295" s="129"/>
      <c r="C295" s="4"/>
      <c r="D295" s="5"/>
      <c r="E295" s="6"/>
      <c r="F295" s="2"/>
      <c r="G295" s="2"/>
      <c r="H295" s="2"/>
      <c r="I295" s="10"/>
      <c r="J295" s="1"/>
      <c r="K295" s="1"/>
      <c r="L295" s="1"/>
      <c r="M295" s="1"/>
      <c r="N295" s="69"/>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1:78" hidden="1" x14ac:dyDescent="0.2">
      <c r="A296" s="2"/>
      <c r="B296" s="129"/>
      <c r="C296" s="4"/>
      <c r="D296" s="5"/>
      <c r="E296" s="6"/>
      <c r="F296" s="2"/>
      <c r="G296" s="2"/>
      <c r="H296" s="2"/>
      <c r="I296" s="10"/>
      <c r="J296" s="1"/>
      <c r="K296" s="1"/>
      <c r="L296" s="1"/>
      <c r="M296" s="1"/>
      <c r="N296" s="69"/>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1:78" hidden="1" x14ac:dyDescent="0.2">
      <c r="A297" s="2"/>
      <c r="B297" s="129"/>
      <c r="C297" s="4"/>
      <c r="D297" s="5"/>
      <c r="E297" s="6"/>
      <c r="F297" s="2"/>
      <c r="G297" s="2"/>
      <c r="H297" s="2"/>
      <c r="I297" s="10"/>
      <c r="J297" s="1"/>
      <c r="K297" s="1"/>
      <c r="L297" s="1"/>
      <c r="M297" s="1"/>
      <c r="N297" s="69"/>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1:78" hidden="1" x14ac:dyDescent="0.2">
      <c r="A298" s="2"/>
      <c r="B298" s="129"/>
      <c r="C298" s="4"/>
      <c r="D298" s="5"/>
      <c r="E298" s="6"/>
      <c r="F298" s="2"/>
      <c r="G298" s="2"/>
      <c r="H298" s="2"/>
      <c r="I298" s="10"/>
      <c r="J298" s="1"/>
      <c r="K298" s="1"/>
      <c r="L298" s="1"/>
      <c r="M298" s="1"/>
      <c r="N298" s="69"/>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1:78" hidden="1" x14ac:dyDescent="0.2">
      <c r="A299" s="2"/>
      <c r="B299" s="129"/>
      <c r="C299" s="4"/>
      <c r="D299" s="5"/>
      <c r="E299" s="6"/>
      <c r="F299" s="2"/>
      <c r="G299" s="2"/>
      <c r="H299" s="2"/>
      <c r="I299" s="10"/>
      <c r="J299" s="1"/>
      <c r="K299" s="1"/>
      <c r="L299" s="1"/>
      <c r="M299" s="1"/>
      <c r="N299" s="69"/>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1:78" hidden="1" x14ac:dyDescent="0.2">
      <c r="A300" s="2"/>
      <c r="B300" s="129"/>
      <c r="C300" s="4"/>
      <c r="D300" s="5"/>
      <c r="E300" s="6"/>
      <c r="F300" s="2"/>
      <c r="G300" s="2"/>
      <c r="H300" s="2"/>
      <c r="I300" s="10"/>
      <c r="J300" s="1"/>
      <c r="K300" s="1"/>
      <c r="L300" s="1"/>
      <c r="M300" s="1"/>
      <c r="N300" s="69"/>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1:78" hidden="1" x14ac:dyDescent="0.2">
      <c r="A301" s="2"/>
      <c r="B301" s="129"/>
      <c r="C301" s="4"/>
      <c r="D301" s="5"/>
      <c r="E301" s="6"/>
      <c r="F301" s="2"/>
      <c r="G301" s="2"/>
      <c r="H301" s="2"/>
      <c r="I301" s="10"/>
      <c r="J301" s="1"/>
      <c r="K301" s="1"/>
      <c r="L301" s="1"/>
      <c r="M301" s="1"/>
      <c r="N301" s="69"/>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1:78" hidden="1" x14ac:dyDescent="0.2">
      <c r="A302" s="2"/>
      <c r="B302" s="129"/>
      <c r="C302" s="4"/>
      <c r="D302" s="5"/>
      <c r="E302" s="6"/>
      <c r="F302" s="2"/>
      <c r="G302" s="2"/>
      <c r="H302" s="2"/>
      <c r="I302" s="10"/>
      <c r="J302" s="1"/>
      <c r="K302" s="1"/>
      <c r="L302" s="1"/>
      <c r="M302" s="1"/>
      <c r="N302" s="69"/>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1:78" hidden="1" x14ac:dyDescent="0.2">
      <c r="A303" s="2"/>
      <c r="B303" s="129"/>
      <c r="C303" s="4"/>
      <c r="D303" s="5"/>
      <c r="E303" s="6"/>
      <c r="F303" s="2"/>
      <c r="G303" s="2"/>
      <c r="H303" s="2"/>
      <c r="I303" s="10"/>
      <c r="J303" s="1"/>
      <c r="K303" s="1"/>
      <c r="L303" s="1"/>
      <c r="M303" s="1"/>
      <c r="N303" s="69"/>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1:78" hidden="1" x14ac:dyDescent="0.2">
      <c r="A304" s="2"/>
      <c r="B304" s="129"/>
      <c r="C304" s="4"/>
      <c r="D304" s="5"/>
      <c r="E304" s="6"/>
      <c r="F304" s="2"/>
      <c r="G304" s="2"/>
      <c r="H304" s="2"/>
      <c r="I304" s="10"/>
      <c r="J304" s="1"/>
      <c r="K304" s="1"/>
      <c r="L304" s="1"/>
      <c r="M304" s="1"/>
      <c r="N304" s="69"/>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hidden="1" x14ac:dyDescent="0.2">
      <c r="A305" s="2"/>
      <c r="B305" s="129"/>
      <c r="C305" s="4"/>
      <c r="D305" s="5"/>
      <c r="E305" s="6"/>
      <c r="F305" s="2"/>
      <c r="G305" s="2"/>
      <c r="H305" s="2"/>
      <c r="I305" s="10"/>
      <c r="J305" s="1"/>
      <c r="K305" s="1"/>
      <c r="L305" s="1"/>
      <c r="M305" s="1"/>
      <c r="N305" s="69"/>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hidden="1" x14ac:dyDescent="0.2">
      <c r="A306" s="2"/>
      <c r="B306" s="129"/>
      <c r="C306" s="4"/>
      <c r="D306" s="5"/>
      <c r="E306" s="6"/>
      <c r="F306" s="2"/>
      <c r="G306" s="2"/>
      <c r="H306" s="2"/>
      <c r="I306" s="10"/>
      <c r="J306" s="1"/>
      <c r="K306" s="1"/>
      <c r="L306" s="1"/>
      <c r="M306" s="1"/>
      <c r="N306" s="69"/>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hidden="1" x14ac:dyDescent="0.2">
      <c r="A307" s="2"/>
      <c r="B307" s="129"/>
      <c r="C307" s="4"/>
      <c r="D307" s="5"/>
      <c r="E307" s="6"/>
      <c r="F307" s="2"/>
      <c r="G307" s="2"/>
      <c r="H307" s="2"/>
      <c r="I307" s="10"/>
      <c r="J307" s="1"/>
      <c r="K307" s="1"/>
      <c r="L307" s="1"/>
      <c r="M307" s="1"/>
      <c r="N307" s="69"/>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hidden="1" x14ac:dyDescent="0.2">
      <c r="A308" s="2"/>
      <c r="B308" s="129"/>
      <c r="C308" s="4"/>
      <c r="D308" s="5"/>
      <c r="E308" s="6"/>
      <c r="F308" s="2"/>
      <c r="G308" s="2"/>
      <c r="H308" s="2"/>
      <c r="I308" s="10"/>
      <c r="J308" s="1"/>
      <c r="K308" s="1"/>
      <c r="L308" s="1"/>
      <c r="M308" s="1"/>
      <c r="N308" s="69"/>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hidden="1" x14ac:dyDescent="0.2">
      <c r="A309" s="2"/>
      <c r="B309" s="129"/>
      <c r="C309" s="4"/>
      <c r="D309" s="5"/>
      <c r="E309" s="6"/>
      <c r="F309" s="2"/>
      <c r="G309" s="2"/>
      <c r="H309" s="2"/>
      <c r="I309" s="10"/>
      <c r="J309" s="1"/>
      <c r="K309" s="1"/>
      <c r="L309" s="1"/>
      <c r="M309" s="1"/>
      <c r="N309" s="69"/>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hidden="1" x14ac:dyDescent="0.2">
      <c r="A310" s="2"/>
      <c r="B310" s="129"/>
      <c r="C310" s="4"/>
      <c r="D310" s="5"/>
      <c r="E310" s="6"/>
      <c r="F310" s="2"/>
      <c r="G310" s="2"/>
      <c r="H310" s="2"/>
      <c r="I310" s="10"/>
      <c r="J310" s="1"/>
      <c r="K310" s="1"/>
      <c r="L310" s="1"/>
      <c r="M310" s="1"/>
      <c r="N310" s="69"/>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hidden="1" x14ac:dyDescent="0.2">
      <c r="A311" s="2"/>
      <c r="B311" s="129"/>
      <c r="C311" s="4"/>
      <c r="D311" s="5"/>
      <c r="E311" s="6"/>
      <c r="F311" s="2"/>
      <c r="G311" s="2"/>
      <c r="H311" s="2"/>
      <c r="I311" s="10"/>
      <c r="J311" s="1"/>
      <c r="K311" s="1"/>
      <c r="L311" s="1"/>
      <c r="M311" s="1"/>
      <c r="N311" s="69"/>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hidden="1" x14ac:dyDescent="0.2">
      <c r="A312" s="2"/>
      <c r="B312" s="129"/>
      <c r="C312" s="4"/>
      <c r="D312" s="5"/>
      <c r="E312" s="6"/>
      <c r="F312" s="2"/>
      <c r="G312" s="2"/>
      <c r="H312" s="2"/>
      <c r="I312" s="10"/>
      <c r="J312" s="1"/>
      <c r="K312" s="1"/>
      <c r="L312" s="1"/>
      <c r="M312" s="1"/>
      <c r="N312" s="69"/>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hidden="1" x14ac:dyDescent="0.2">
      <c r="A313" s="2"/>
      <c r="B313" s="129"/>
      <c r="C313" s="4"/>
      <c r="D313" s="5"/>
      <c r="E313" s="6"/>
      <c r="F313" s="2"/>
      <c r="G313" s="2"/>
      <c r="H313" s="2"/>
      <c r="I313" s="10"/>
      <c r="J313" s="1"/>
      <c r="K313" s="1"/>
      <c r="L313" s="1"/>
      <c r="M313" s="1"/>
      <c r="N313" s="69"/>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hidden="1" x14ac:dyDescent="0.2">
      <c r="A314" s="2"/>
      <c r="B314" s="129"/>
      <c r="C314" s="4"/>
      <c r="D314" s="5"/>
      <c r="E314" s="6"/>
      <c r="F314" s="2"/>
      <c r="G314" s="2"/>
      <c r="H314" s="2"/>
      <c r="I314" s="10"/>
      <c r="J314" s="1"/>
      <c r="K314" s="1"/>
      <c r="L314" s="1"/>
      <c r="M314" s="1"/>
      <c r="N314" s="69"/>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hidden="1" x14ac:dyDescent="0.2">
      <c r="A315" s="2"/>
      <c r="B315" s="129"/>
      <c r="C315" s="4"/>
      <c r="D315" s="5"/>
      <c r="E315" s="6"/>
      <c r="F315" s="2"/>
      <c r="G315" s="2"/>
      <c r="H315" s="2"/>
      <c r="I315" s="10"/>
      <c r="J315" s="1"/>
      <c r="K315" s="1"/>
      <c r="L315" s="1"/>
      <c r="M315" s="1"/>
      <c r="N315" s="69"/>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hidden="1" x14ac:dyDescent="0.2">
      <c r="A316" s="2"/>
      <c r="B316" s="129"/>
      <c r="C316" s="4"/>
      <c r="D316" s="5"/>
      <c r="E316" s="6"/>
      <c r="F316" s="2"/>
      <c r="G316" s="2"/>
      <c r="H316" s="2"/>
      <c r="I316" s="10"/>
      <c r="J316" s="1"/>
      <c r="K316" s="1"/>
      <c r="L316" s="1"/>
      <c r="M316" s="1"/>
      <c r="N316" s="69"/>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hidden="1" x14ac:dyDescent="0.2">
      <c r="A317" s="2"/>
      <c r="B317" s="129"/>
      <c r="C317" s="4"/>
      <c r="D317" s="5"/>
      <c r="E317" s="6"/>
      <c r="F317" s="2"/>
      <c r="G317" s="2"/>
      <c r="H317" s="2"/>
      <c r="I317" s="10"/>
      <c r="J317" s="1"/>
      <c r="K317" s="1"/>
      <c r="L317" s="1"/>
      <c r="M317" s="1"/>
      <c r="N317" s="69"/>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hidden="1" x14ac:dyDescent="0.2">
      <c r="A318" s="2"/>
      <c r="B318" s="129"/>
      <c r="C318" s="4"/>
      <c r="D318" s="5"/>
      <c r="E318" s="6"/>
      <c r="F318" s="2"/>
      <c r="G318" s="2"/>
      <c r="H318" s="2"/>
      <c r="I318" s="10"/>
      <c r="J318" s="1"/>
      <c r="K318" s="1"/>
      <c r="L318" s="1"/>
      <c r="M318" s="1"/>
      <c r="N318" s="69"/>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hidden="1" x14ac:dyDescent="0.2">
      <c r="A319" s="2"/>
      <c r="B319" s="129"/>
      <c r="C319" s="4"/>
      <c r="D319" s="5"/>
      <c r="E319" s="6"/>
      <c r="F319" s="2"/>
      <c r="G319" s="2"/>
      <c r="H319" s="2"/>
      <c r="I319" s="10"/>
      <c r="J319" s="1"/>
      <c r="K319" s="1"/>
      <c r="L319" s="1"/>
      <c r="M319" s="1"/>
      <c r="N319" s="69"/>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hidden="1" x14ac:dyDescent="0.2">
      <c r="A320" s="2"/>
      <c r="B320" s="129"/>
      <c r="C320" s="4"/>
      <c r="D320" s="5"/>
      <c r="E320" s="6"/>
      <c r="F320" s="2"/>
      <c r="G320" s="2"/>
      <c r="H320" s="2"/>
      <c r="I320" s="10"/>
      <c r="J320" s="1"/>
      <c r="K320" s="1"/>
      <c r="L320" s="1"/>
      <c r="M320" s="1"/>
      <c r="N320" s="69"/>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hidden="1" x14ac:dyDescent="0.2">
      <c r="A321" s="2"/>
      <c r="B321" s="129"/>
      <c r="C321" s="4"/>
      <c r="D321" s="5"/>
      <c r="E321" s="6"/>
      <c r="F321" s="2"/>
      <c r="G321" s="2"/>
      <c r="H321" s="2"/>
      <c r="I321" s="10"/>
      <c r="J321" s="1"/>
      <c r="K321" s="1"/>
      <c r="L321" s="1"/>
      <c r="M321" s="1"/>
      <c r="N321" s="69"/>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hidden="1" x14ac:dyDescent="0.2">
      <c r="A322" s="2"/>
      <c r="B322" s="129"/>
      <c r="C322" s="4"/>
      <c r="D322" s="5"/>
      <c r="E322" s="6"/>
      <c r="F322" s="2"/>
      <c r="G322" s="2"/>
      <c r="H322" s="2"/>
      <c r="I322" s="10"/>
      <c r="J322" s="1"/>
      <c r="K322" s="1"/>
      <c r="L322" s="1"/>
      <c r="M322" s="1"/>
      <c r="N322" s="69"/>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hidden="1" x14ac:dyDescent="0.2">
      <c r="A323" s="2"/>
      <c r="B323" s="129"/>
      <c r="C323" s="4"/>
      <c r="D323" s="5"/>
      <c r="E323" s="6"/>
      <c r="F323" s="2"/>
      <c r="G323" s="2"/>
      <c r="H323" s="2"/>
      <c r="I323" s="10"/>
      <c r="J323" s="1"/>
      <c r="K323" s="1"/>
      <c r="L323" s="1"/>
      <c r="M323" s="1"/>
      <c r="N323" s="69"/>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hidden="1" x14ac:dyDescent="0.2">
      <c r="A324" s="2"/>
      <c r="B324" s="129"/>
      <c r="C324" s="4"/>
      <c r="D324" s="5"/>
      <c r="E324" s="6"/>
      <c r="F324" s="2"/>
      <c r="G324" s="2"/>
      <c r="H324" s="2"/>
      <c r="I324" s="10"/>
      <c r="J324" s="1"/>
      <c r="K324" s="1"/>
      <c r="L324" s="1"/>
      <c r="M324" s="1"/>
      <c r="N324" s="69"/>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hidden="1" x14ac:dyDescent="0.2">
      <c r="A325" s="2"/>
      <c r="B325" s="129"/>
      <c r="C325" s="4"/>
      <c r="D325" s="5"/>
      <c r="E325" s="6"/>
      <c r="F325" s="2"/>
      <c r="G325" s="2"/>
      <c r="H325" s="2"/>
      <c r="I325" s="10"/>
      <c r="J325" s="1"/>
      <c r="BB325" s="1"/>
      <c r="BC325" s="1"/>
      <c r="BD325" s="1"/>
      <c r="BE325" s="1"/>
      <c r="BF325" s="1"/>
      <c r="BG325" s="1"/>
      <c r="BH325" s="1"/>
      <c r="BI325" s="1"/>
      <c r="BJ325" s="1"/>
      <c r="BK325" s="1"/>
      <c r="BL325" s="1"/>
      <c r="BM325" s="1"/>
      <c r="BN325" s="1"/>
    </row>
    <row r="326" spans="1:78" hidden="1" x14ac:dyDescent="0.2">
      <c r="A326" s="2"/>
      <c r="B326" s="129"/>
      <c r="C326" s="4"/>
      <c r="D326" s="5"/>
      <c r="E326" s="6"/>
      <c r="F326" s="2"/>
      <c r="G326" s="2"/>
      <c r="H326" s="2"/>
      <c r="I326" s="10"/>
      <c r="J326" s="1"/>
    </row>
    <row r="327" spans="1:78" hidden="1" x14ac:dyDescent="0.2">
      <c r="A327" s="2"/>
      <c r="B327" s="129"/>
      <c r="C327" s="4"/>
      <c r="D327" s="5"/>
      <c r="E327" s="6"/>
      <c r="F327" s="2"/>
      <c r="G327" s="2"/>
      <c r="H327" s="2"/>
      <c r="I327" s="10"/>
      <c r="J327" s="1"/>
    </row>
    <row r="328" spans="1:78" hidden="1" x14ac:dyDescent="0.2">
      <c r="A328" s="2"/>
      <c r="B328" s="129"/>
      <c r="C328" s="4"/>
      <c r="D328" s="5"/>
      <c r="E328" s="6"/>
      <c r="F328" s="2"/>
      <c r="G328" s="2"/>
      <c r="H328" s="2"/>
      <c r="I328" s="10"/>
      <c r="J328" s="1"/>
    </row>
    <row r="329" spans="1:78" hidden="1" x14ac:dyDescent="0.2">
      <c r="A329" s="2"/>
      <c r="B329" s="129"/>
      <c r="C329" s="4"/>
      <c r="D329" s="5"/>
      <c r="E329" s="6"/>
      <c r="F329" s="2"/>
      <c r="G329" s="2"/>
      <c r="H329" s="2"/>
      <c r="I329" s="10"/>
      <c r="J329" s="1"/>
    </row>
    <row r="330" spans="1:78" hidden="1" x14ac:dyDescent="0.2">
      <c r="A330" s="2"/>
      <c r="B330" s="129"/>
      <c r="C330" s="4"/>
      <c r="D330" s="5"/>
      <c r="E330" s="6"/>
      <c r="F330" s="2"/>
      <c r="G330" s="2"/>
      <c r="H330" s="2"/>
      <c r="I330" s="10"/>
      <c r="J330" s="1"/>
    </row>
    <row r="331" spans="1:78" hidden="1" x14ac:dyDescent="0.2">
      <c r="A331" s="2"/>
      <c r="B331" s="129"/>
      <c r="C331" s="4"/>
      <c r="D331" s="5"/>
      <c r="E331" s="6"/>
      <c r="F331" s="2"/>
      <c r="G331" s="2"/>
      <c r="H331" s="2"/>
      <c r="I331" s="10"/>
      <c r="J331" s="1"/>
    </row>
    <row r="332" spans="1:78" hidden="1" x14ac:dyDescent="0.2">
      <c r="A332" s="2"/>
      <c r="B332" s="129"/>
      <c r="C332" s="4"/>
      <c r="D332" s="5"/>
      <c r="E332" s="6"/>
      <c r="F332" s="2"/>
      <c r="G332" s="2"/>
      <c r="H332" s="2"/>
      <c r="I332" s="10"/>
      <c r="J332" s="1"/>
    </row>
    <row r="333" spans="1:78" hidden="1" x14ac:dyDescent="0.2">
      <c r="A333" s="2"/>
      <c r="B333" s="129"/>
      <c r="C333" s="4"/>
      <c r="D333" s="5"/>
      <c r="E333" s="6"/>
      <c r="F333" s="2"/>
      <c r="G333" s="2"/>
      <c r="H333" s="2"/>
      <c r="I333" s="10"/>
    </row>
    <row r="334" spans="1:78" hidden="1" x14ac:dyDescent="0.2">
      <c r="B334" s="129"/>
      <c r="C334" s="4"/>
      <c r="D334" s="5"/>
      <c r="E334" s="6"/>
      <c r="F334" s="2"/>
      <c r="G334" s="2"/>
      <c r="H334" s="2"/>
      <c r="I334" s="10"/>
    </row>
    <row r="335" spans="1:78" hidden="1" x14ac:dyDescent="0.2">
      <c r="B335" s="129"/>
      <c r="C335" s="4"/>
      <c r="D335" s="5"/>
      <c r="E335" s="6"/>
      <c r="F335" s="2"/>
      <c r="G335" s="2"/>
      <c r="H335" s="2"/>
      <c r="I335" s="10"/>
    </row>
    <row r="336" spans="1:78" hidden="1" x14ac:dyDescent="0.2">
      <c r="F336" s="2"/>
      <c r="G336" s="2"/>
      <c r="H336" s="2"/>
      <c r="I336" s="10"/>
    </row>
  </sheetData>
  <sheetProtection password="CA6B" sheet="1" objects="1" scenarios="1" selectLockedCells="1"/>
  <protectedRanges>
    <protectedRange sqref="V9:V10 V12:V23" name="S94_2008_2009_1_1"/>
  </protectedRanges>
  <mergeCells count="94">
    <mergeCell ref="D4:E4"/>
    <mergeCell ref="D5:E5"/>
    <mergeCell ref="B4:C4"/>
    <mergeCell ref="B5:C5"/>
    <mergeCell ref="I5:J5"/>
    <mergeCell ref="A7:H7"/>
    <mergeCell ref="I7:J7"/>
    <mergeCell ref="D6:E6"/>
    <mergeCell ref="P81:Y81"/>
    <mergeCell ref="F60:H60"/>
    <mergeCell ref="E73:I73"/>
    <mergeCell ref="E81:I87"/>
    <mergeCell ref="B16:I16"/>
    <mergeCell ref="A17:J17"/>
    <mergeCell ref="B30:I30"/>
    <mergeCell ref="F52:I55"/>
    <mergeCell ref="A65:I65"/>
    <mergeCell ref="A64:I64"/>
    <mergeCell ref="D46:I46"/>
    <mergeCell ref="D50:I50"/>
    <mergeCell ref="D48:I48"/>
    <mergeCell ref="AA53:AB53"/>
    <mergeCell ref="AA48:AB48"/>
    <mergeCell ref="AA49:AB49"/>
    <mergeCell ref="AA50:AB50"/>
    <mergeCell ref="AA51:AB51"/>
    <mergeCell ref="AA52:AB52"/>
    <mergeCell ref="AA43:AB43"/>
    <mergeCell ref="AA44:AB44"/>
    <mergeCell ref="AA45:AB45"/>
    <mergeCell ref="AA46:AB46"/>
    <mergeCell ref="AA47:AB47"/>
    <mergeCell ref="E19:H19"/>
    <mergeCell ref="E23:H23"/>
    <mergeCell ref="B18:D18"/>
    <mergeCell ref="E29:I29"/>
    <mergeCell ref="B24:I24"/>
    <mergeCell ref="D25:H25"/>
    <mergeCell ref="D27:H27"/>
    <mergeCell ref="E18:I18"/>
    <mergeCell ref="E21:H21"/>
    <mergeCell ref="B22:I22"/>
    <mergeCell ref="B8:I8"/>
    <mergeCell ref="B9:I9"/>
    <mergeCell ref="C15:F15"/>
    <mergeCell ref="B14:I14"/>
    <mergeCell ref="C13:D13"/>
    <mergeCell ref="B10:I10"/>
    <mergeCell ref="G15:I15"/>
    <mergeCell ref="G13:I13"/>
    <mergeCell ref="F56:H56"/>
    <mergeCell ref="F58:H58"/>
    <mergeCell ref="B20:I20"/>
    <mergeCell ref="C23:D23"/>
    <mergeCell ref="F43:I43"/>
    <mergeCell ref="D38:I38"/>
    <mergeCell ref="D42:I42"/>
    <mergeCell ref="B37:I37"/>
    <mergeCell ref="B36:I36"/>
    <mergeCell ref="B35:I35"/>
    <mergeCell ref="C67:D67"/>
    <mergeCell ref="C68:D68"/>
    <mergeCell ref="C69:D69"/>
    <mergeCell ref="C70:D70"/>
    <mergeCell ref="C72:D72"/>
    <mergeCell ref="C73:D73"/>
    <mergeCell ref="C71:D71"/>
    <mergeCell ref="C74:D74"/>
    <mergeCell ref="C75:D75"/>
    <mergeCell ref="C76:D76"/>
    <mergeCell ref="C84:D84"/>
    <mergeCell ref="C85:D85"/>
    <mergeCell ref="C86:D86"/>
    <mergeCell ref="C77:D77"/>
    <mergeCell ref="C78:D78"/>
    <mergeCell ref="C79:D79"/>
    <mergeCell ref="C80:D80"/>
    <mergeCell ref="C81:D81"/>
    <mergeCell ref="C87:D87"/>
    <mergeCell ref="E67:I67"/>
    <mergeCell ref="E68:I68"/>
    <mergeCell ref="E69:I69"/>
    <mergeCell ref="E70:I70"/>
    <mergeCell ref="E71:I71"/>
    <mergeCell ref="E72:I72"/>
    <mergeCell ref="E74:I74"/>
    <mergeCell ref="E75:I75"/>
    <mergeCell ref="E76:I76"/>
    <mergeCell ref="E77:I77"/>
    <mergeCell ref="E78:I78"/>
    <mergeCell ref="E79:I79"/>
    <mergeCell ref="E80:I80"/>
    <mergeCell ref="C82:D82"/>
    <mergeCell ref="C83:D83"/>
  </mergeCells>
  <phoneticPr fontId="16" type="noConversion"/>
  <conditionalFormatting sqref="C87">
    <cfRule type="expression" dxfId="156" priority="65">
      <formula>C87=0</formula>
    </cfRule>
  </conditionalFormatting>
  <conditionalFormatting sqref="D42">
    <cfRule type="expression" dxfId="155" priority="170">
      <formula>F44&lt;&gt;""</formula>
    </cfRule>
  </conditionalFormatting>
  <conditionalFormatting sqref="D27">
    <cfRule type="expression" dxfId="154" priority="177">
      <formula>C27="Yes"</formula>
    </cfRule>
  </conditionalFormatting>
  <conditionalFormatting sqref="I27">
    <cfRule type="expression" dxfId="153" priority="27">
      <formula>C27&lt;&gt;"Yes"</formula>
    </cfRule>
  </conditionalFormatting>
  <conditionalFormatting sqref="E21">
    <cfRule type="expression" dxfId="152" priority="15">
      <formula>C29="DA - New Dual/Multi Occupancy Dwellings"</formula>
    </cfRule>
  </conditionalFormatting>
  <conditionalFormatting sqref="E80">
    <cfRule type="expression" dxfId="151" priority="180">
      <formula>C56="Yes"</formula>
    </cfRule>
  </conditionalFormatting>
  <conditionalFormatting sqref="E81">
    <cfRule type="expression" dxfId="150" priority="182">
      <formula>C56="Yes"</formula>
    </cfRule>
  </conditionalFormatting>
  <dataValidations count="3">
    <dataValidation type="list" allowBlank="1" showInputMessage="1" showErrorMessage="1" sqref="C56 C38 C34 C29 C52 C27 C40 C42 C54 C58 I60 C19 C60 C44 C46 C48 C50 C31 I25">
      <formula1>YesNo</formula1>
    </dataValidation>
    <dataValidation type="list" allowBlank="1" showInputMessage="1" showErrorMessage="1" sqref="C23">
      <formula1>SubType</formula1>
    </dataValidation>
    <dataValidation type="list" allowBlank="1" showInputMessage="1" showErrorMessage="1" sqref="C15:F15">
      <formula1>CatList</formula1>
    </dataValidation>
  </dataValidations>
  <hyperlinks>
    <hyperlink ref="B54" location="'Advert Guide'!A1" display="Advertising Required"/>
    <hyperlink ref="B52" location="'Advert Guide'!A1" display="Notification Required"/>
  </hyperlinks>
  <printOptions horizontalCentered="1" verticalCentered="1"/>
  <pageMargins left="0" right="0" top="0" bottom="0" header="0.11811023622047245" footer="0.11811023622047245"/>
  <pageSetup paperSize="9" scale="98" orientation="portrait" r:id="rId1"/>
  <headerFooter alignWithMargins="0"/>
  <ignoredErrors>
    <ignoredError sqref="C81" evalError="1"/>
  </ignoredErrors>
  <drawing r:id="rId2"/>
  <legacyDrawing r:id="rId3"/>
  <controls>
    <mc:AlternateContent xmlns:mc="http://schemas.openxmlformats.org/markup-compatibility/2006">
      <mc:Choice Requires="x14">
        <control shapeId="1145" r:id="rId4" name="CommandButton2">
          <controlPr defaultSize="0" autoLine="0" r:id="rId5">
            <anchor moveWithCells="1">
              <from>
                <xdr:col>7</xdr:col>
                <xdr:colOff>133350</xdr:colOff>
                <xdr:row>4</xdr:row>
                <xdr:rowOff>19050</xdr:rowOff>
              </from>
              <to>
                <xdr:col>9</xdr:col>
                <xdr:colOff>0</xdr:colOff>
                <xdr:row>5</xdr:row>
                <xdr:rowOff>133350</xdr:rowOff>
              </to>
            </anchor>
          </controlPr>
        </control>
      </mc:Choice>
      <mc:Fallback>
        <control shapeId="1145" r:id="rId4" name="CommandButton2"/>
      </mc:Fallback>
    </mc:AlternateContent>
    <mc:AlternateContent xmlns:mc="http://schemas.openxmlformats.org/markup-compatibility/2006">
      <mc:Choice Requires="x14">
        <control shapeId="1129" r:id="rId6" name="CommandButton1">
          <controlPr locked="0" defaultSize="0" print="0" autoLine="0" autoPict="0" r:id="rId7">
            <anchor moveWithCells="1" sizeWithCells="1">
              <from>
                <xdr:col>7</xdr:col>
                <xdr:colOff>133350</xdr:colOff>
                <xdr:row>1</xdr:row>
                <xdr:rowOff>47625</xdr:rowOff>
              </from>
              <to>
                <xdr:col>8</xdr:col>
                <xdr:colOff>400050</xdr:colOff>
                <xdr:row>3</xdr:row>
                <xdr:rowOff>142875</xdr:rowOff>
              </to>
            </anchor>
          </controlPr>
        </control>
      </mc:Choice>
      <mc:Fallback>
        <control shapeId="1129" r:id="rId6"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82"/>
  <sheetViews>
    <sheetView topLeftCell="G1" zoomScale="75" zoomScaleNormal="75" workbookViewId="0">
      <selection activeCell="Q4" sqref="Q4"/>
    </sheetView>
  </sheetViews>
  <sheetFormatPr defaultRowHeight="12.75" x14ac:dyDescent="0.2"/>
  <cols>
    <col min="1" max="1" width="47" bestFit="1" customWidth="1"/>
    <col min="2" max="2" width="10.42578125" bestFit="1" customWidth="1"/>
    <col min="3" max="3" width="13.140625" bestFit="1" customWidth="1"/>
    <col min="4" max="4" width="3.28515625" customWidth="1"/>
    <col min="5" max="5" width="45.42578125" customWidth="1"/>
    <col min="6" max="6" width="11.85546875" bestFit="1" customWidth="1"/>
    <col min="8" max="8" width="28.85546875" customWidth="1"/>
    <col min="9" max="9" width="11" bestFit="1" customWidth="1"/>
    <col min="11" max="11" width="15.28515625" bestFit="1" customWidth="1"/>
    <col min="12" max="12" width="11.140625" bestFit="1" customWidth="1"/>
    <col min="14" max="14" width="18.5703125" bestFit="1" customWidth="1"/>
    <col min="15" max="15" width="12.140625" bestFit="1" customWidth="1"/>
    <col min="17" max="17" width="145" bestFit="1" customWidth="1"/>
    <col min="18" max="18" width="11.140625" bestFit="1" customWidth="1"/>
    <col min="20" max="20" width="97.85546875" bestFit="1" customWidth="1"/>
    <col min="21" max="21" width="12.140625" bestFit="1" customWidth="1"/>
    <col min="22" max="22" width="52.140625" bestFit="1" customWidth="1"/>
    <col min="23" max="23" width="11.140625" bestFit="1" customWidth="1"/>
    <col min="25" max="25" width="70.85546875" bestFit="1" customWidth="1"/>
    <col min="26" max="26" width="11.42578125" bestFit="1" customWidth="1"/>
    <col min="28" max="28" width="40.7109375" bestFit="1" customWidth="1"/>
    <col min="29" max="29" width="13.85546875" bestFit="1" customWidth="1"/>
    <col min="31" max="31" width="59" customWidth="1"/>
    <col min="32" max="32" width="12.7109375" bestFit="1" customWidth="1"/>
  </cols>
  <sheetData>
    <row r="1" spans="1:32" ht="25.5" x14ac:dyDescent="0.2">
      <c r="A1" s="74" t="s">
        <v>102</v>
      </c>
      <c r="B1" s="74">
        <v>11</v>
      </c>
      <c r="C1" s="75" t="s">
        <v>103</v>
      </c>
      <c r="D1" s="75"/>
      <c r="Q1" s="107" t="s">
        <v>1498</v>
      </c>
      <c r="R1" s="75" t="s">
        <v>310</v>
      </c>
      <c r="T1" s="136" t="s">
        <v>1550</v>
      </c>
      <c r="U1" s="75" t="s">
        <v>334</v>
      </c>
      <c r="V1" s="11" t="s">
        <v>332</v>
      </c>
      <c r="W1" s="75" t="s">
        <v>349</v>
      </c>
      <c r="Y1" s="107" t="s">
        <v>1534</v>
      </c>
      <c r="Z1" s="107" t="s">
        <v>352</v>
      </c>
      <c r="AB1" s="107" t="s">
        <v>353</v>
      </c>
      <c r="AC1" s="107" t="s">
        <v>364</v>
      </c>
      <c r="AE1" s="128" t="s">
        <v>101</v>
      </c>
      <c r="AF1" s="107" t="s">
        <v>376</v>
      </c>
    </row>
    <row r="2" spans="1:32" ht="76.5" x14ac:dyDescent="0.2">
      <c r="A2" s="74" t="s">
        <v>104</v>
      </c>
      <c r="B2" s="74">
        <v>10</v>
      </c>
      <c r="C2" s="75" t="s">
        <v>105</v>
      </c>
      <c r="D2" s="75"/>
      <c r="E2" s="46" t="s">
        <v>280</v>
      </c>
      <c r="F2" s="75" t="s">
        <v>285</v>
      </c>
      <c r="H2" s="68" t="s">
        <v>55</v>
      </c>
      <c r="I2" s="75" t="s">
        <v>297</v>
      </c>
      <c r="K2" s="107" t="s">
        <v>22</v>
      </c>
      <c r="L2" s="75" t="s">
        <v>300</v>
      </c>
      <c r="N2" s="43" t="s">
        <v>79</v>
      </c>
      <c r="O2" s="75" t="s">
        <v>301</v>
      </c>
      <c r="R2" s="75"/>
      <c r="T2" s="137" t="s">
        <v>1551</v>
      </c>
      <c r="U2" s="75" t="s">
        <v>335</v>
      </c>
      <c r="V2" s="11" t="s">
        <v>331</v>
      </c>
      <c r="W2" s="75" t="s">
        <v>350</v>
      </c>
      <c r="Y2" s="107" t="s">
        <v>1533</v>
      </c>
      <c r="AB2" s="138" t="s">
        <v>354</v>
      </c>
      <c r="AC2" s="107" t="s">
        <v>365</v>
      </c>
      <c r="AE2" s="20" t="s">
        <v>1673</v>
      </c>
      <c r="AF2" s="107" t="s">
        <v>377</v>
      </c>
    </row>
    <row r="3" spans="1:32" x14ac:dyDescent="0.2">
      <c r="A3" s="74" t="s">
        <v>106</v>
      </c>
      <c r="B3" s="74">
        <v>0.1</v>
      </c>
      <c r="C3" s="75" t="s">
        <v>107</v>
      </c>
      <c r="D3" s="75"/>
      <c r="E3" s="46" t="s">
        <v>281</v>
      </c>
      <c r="F3" s="75" t="s">
        <v>286</v>
      </c>
      <c r="H3" s="68" t="s">
        <v>57</v>
      </c>
      <c r="I3" s="75" t="s">
        <v>298</v>
      </c>
      <c r="K3" s="107" t="s">
        <v>23</v>
      </c>
      <c r="L3" s="75" t="s">
        <v>320</v>
      </c>
      <c r="N3" s="43" t="s">
        <v>1672</v>
      </c>
      <c r="O3" s="75" t="s">
        <v>302</v>
      </c>
      <c r="Q3" s="107" t="s">
        <v>1687</v>
      </c>
      <c r="R3" s="75" t="s">
        <v>311</v>
      </c>
      <c r="T3" s="137" t="s">
        <v>93</v>
      </c>
      <c r="U3" s="75" t="s">
        <v>336</v>
      </c>
      <c r="V3" s="135" t="s">
        <v>333</v>
      </c>
      <c r="W3" s="75" t="s">
        <v>351</v>
      </c>
      <c r="AB3" s="107" t="s">
        <v>39</v>
      </c>
      <c r="AC3" s="107" t="s">
        <v>366</v>
      </c>
    </row>
    <row r="4" spans="1:32" x14ac:dyDescent="0.2">
      <c r="A4" s="76" t="s">
        <v>108</v>
      </c>
      <c r="B4" s="76"/>
      <c r="C4" s="77"/>
      <c r="D4" s="75"/>
      <c r="E4" s="46" t="s">
        <v>326</v>
      </c>
      <c r="F4" s="75" t="s">
        <v>287</v>
      </c>
      <c r="H4" s="68" t="s">
        <v>56</v>
      </c>
      <c r="I4" s="75" t="s">
        <v>299</v>
      </c>
      <c r="N4" s="43" t="s">
        <v>80</v>
      </c>
      <c r="O4" s="75" t="s">
        <v>303</v>
      </c>
      <c r="Q4" s="107" t="s">
        <v>1685</v>
      </c>
      <c r="R4" s="75" t="s">
        <v>1580</v>
      </c>
      <c r="T4" s="137" t="s">
        <v>1550</v>
      </c>
      <c r="U4" s="75" t="s">
        <v>337</v>
      </c>
      <c r="AB4" s="107" t="s">
        <v>355</v>
      </c>
      <c r="AC4" s="107" t="s">
        <v>367</v>
      </c>
    </row>
    <row r="5" spans="1:32" ht="25.5" x14ac:dyDescent="0.2">
      <c r="A5" s="804" t="s">
        <v>109</v>
      </c>
      <c r="B5" s="804">
        <v>239</v>
      </c>
      <c r="C5" s="805" t="s">
        <v>110</v>
      </c>
      <c r="D5" s="75"/>
      <c r="E5" s="46" t="s">
        <v>327</v>
      </c>
      <c r="F5" s="75" t="s">
        <v>288</v>
      </c>
      <c r="H5" s="68" t="s">
        <v>31</v>
      </c>
      <c r="I5" s="75" t="s">
        <v>319</v>
      </c>
      <c r="N5" s="43" t="s">
        <v>1670</v>
      </c>
      <c r="O5" s="75" t="s">
        <v>304</v>
      </c>
      <c r="Q5" s="107" t="s">
        <v>1686</v>
      </c>
      <c r="R5" s="75" t="s">
        <v>1581</v>
      </c>
      <c r="T5" s="136" t="s">
        <v>1552</v>
      </c>
      <c r="U5" s="75" t="s">
        <v>338</v>
      </c>
      <c r="AB5" s="107" t="s">
        <v>356</v>
      </c>
      <c r="AC5" s="107" t="s">
        <v>368</v>
      </c>
    </row>
    <row r="6" spans="1:32" ht="25.5" x14ac:dyDescent="0.2">
      <c r="A6" s="804" t="s">
        <v>111</v>
      </c>
      <c r="B6" s="804">
        <v>3.1</v>
      </c>
      <c r="C6" s="805" t="s">
        <v>112</v>
      </c>
      <c r="D6" s="75"/>
      <c r="E6" s="42" t="s">
        <v>389</v>
      </c>
      <c r="F6" s="75" t="s">
        <v>289</v>
      </c>
      <c r="N6" s="43" t="s">
        <v>1671</v>
      </c>
      <c r="O6" s="75" t="s">
        <v>305</v>
      </c>
      <c r="Q6" s="107" t="s">
        <v>1652</v>
      </c>
      <c r="R6" s="75" t="s">
        <v>1582</v>
      </c>
      <c r="T6" s="136" t="s">
        <v>90</v>
      </c>
      <c r="U6" s="75" t="s">
        <v>339</v>
      </c>
      <c r="AB6" s="107" t="s">
        <v>357</v>
      </c>
      <c r="AC6" s="107" t="s">
        <v>369</v>
      </c>
    </row>
    <row r="7" spans="1:32" x14ac:dyDescent="0.2">
      <c r="A7" s="74" t="s">
        <v>21</v>
      </c>
      <c r="B7" s="74">
        <v>298</v>
      </c>
      <c r="C7" s="75" t="s">
        <v>113</v>
      </c>
      <c r="D7" s="75"/>
      <c r="E7" s="42" t="s">
        <v>390</v>
      </c>
      <c r="F7" s="75" t="s">
        <v>290</v>
      </c>
      <c r="N7" s="43" t="s">
        <v>81</v>
      </c>
      <c r="O7" s="75" t="s">
        <v>306</v>
      </c>
      <c r="Q7" s="107" t="s">
        <v>1653</v>
      </c>
      <c r="R7" s="75" t="s">
        <v>1583</v>
      </c>
      <c r="T7" s="136" t="s">
        <v>1549</v>
      </c>
      <c r="U7" s="75" t="s">
        <v>340</v>
      </c>
      <c r="AB7" s="107" t="s">
        <v>358</v>
      </c>
      <c r="AC7" s="107" t="s">
        <v>370</v>
      </c>
    </row>
    <row r="8" spans="1:32" x14ac:dyDescent="0.2">
      <c r="A8" s="74" t="s">
        <v>114</v>
      </c>
      <c r="B8" s="74">
        <v>298</v>
      </c>
      <c r="C8" s="75" t="s">
        <v>115</v>
      </c>
      <c r="D8" s="75"/>
      <c r="E8" s="42" t="s">
        <v>44</v>
      </c>
      <c r="F8" s="75" t="s">
        <v>291</v>
      </c>
      <c r="N8" s="43" t="s">
        <v>82</v>
      </c>
      <c r="O8" s="75" t="s">
        <v>307</v>
      </c>
      <c r="Q8" s="107" t="s">
        <v>1654</v>
      </c>
      <c r="R8" s="75" t="s">
        <v>1584</v>
      </c>
      <c r="T8" s="136" t="s">
        <v>1553</v>
      </c>
      <c r="U8" s="75" t="s">
        <v>341</v>
      </c>
      <c r="AB8" s="107" t="s">
        <v>359</v>
      </c>
      <c r="AC8" s="107" t="s">
        <v>371</v>
      </c>
    </row>
    <row r="9" spans="1:32" ht="25.5" x14ac:dyDescent="0.2">
      <c r="A9" s="74"/>
      <c r="B9" s="74"/>
      <c r="C9" s="75"/>
      <c r="D9" s="75"/>
      <c r="E9" s="47" t="s">
        <v>283</v>
      </c>
      <c r="F9" s="75" t="s">
        <v>292</v>
      </c>
      <c r="N9" s="43" t="s">
        <v>83</v>
      </c>
      <c r="O9" s="75" t="s">
        <v>308</v>
      </c>
      <c r="Q9" s="107" t="s">
        <v>1655</v>
      </c>
      <c r="R9" s="75" t="s">
        <v>1585</v>
      </c>
      <c r="T9" s="136" t="s">
        <v>1548</v>
      </c>
      <c r="U9" s="75" t="s">
        <v>342</v>
      </c>
      <c r="AB9" s="107" t="s">
        <v>360</v>
      </c>
      <c r="AC9" s="107" t="s">
        <v>372</v>
      </c>
    </row>
    <row r="10" spans="1:32" ht="25.5" x14ac:dyDescent="0.2">
      <c r="A10" s="76" t="s">
        <v>116</v>
      </c>
      <c r="B10" s="76"/>
      <c r="C10" s="77"/>
      <c r="D10" s="75"/>
      <c r="E10" s="47" t="s">
        <v>45</v>
      </c>
      <c r="F10" s="75" t="s">
        <v>293</v>
      </c>
      <c r="N10" s="43" t="s">
        <v>84</v>
      </c>
      <c r="O10" s="75" t="s">
        <v>309</v>
      </c>
      <c r="Q10" s="747" t="s">
        <v>1656</v>
      </c>
      <c r="R10" s="75" t="s">
        <v>1586</v>
      </c>
      <c r="T10" s="136" t="s">
        <v>88</v>
      </c>
      <c r="U10" s="75" t="s">
        <v>343</v>
      </c>
      <c r="AB10" s="107" t="s">
        <v>361</v>
      </c>
      <c r="AC10" s="107" t="s">
        <v>373</v>
      </c>
    </row>
    <row r="11" spans="1:32" ht="25.5" x14ac:dyDescent="0.2">
      <c r="A11" s="804" t="s">
        <v>380</v>
      </c>
      <c r="B11" s="804">
        <v>239</v>
      </c>
      <c r="C11" s="805" t="s">
        <v>117</v>
      </c>
      <c r="D11" s="75"/>
      <c r="E11" s="47" t="s">
        <v>50</v>
      </c>
      <c r="F11" s="75" t="s">
        <v>294</v>
      </c>
      <c r="N11" s="43" t="s">
        <v>1529</v>
      </c>
      <c r="O11" s="75" t="s">
        <v>321</v>
      </c>
      <c r="Q11" s="747" t="s">
        <v>1657</v>
      </c>
      <c r="R11" s="75" t="s">
        <v>1587</v>
      </c>
      <c r="T11" s="136" t="s">
        <v>89</v>
      </c>
      <c r="U11" s="75" t="s">
        <v>344</v>
      </c>
      <c r="AB11" s="107" t="s">
        <v>362</v>
      </c>
      <c r="AC11" s="107" t="s">
        <v>374</v>
      </c>
    </row>
    <row r="12" spans="1:32" ht="25.5" x14ac:dyDescent="0.2">
      <c r="A12" s="804" t="s">
        <v>381</v>
      </c>
      <c r="B12" s="804">
        <v>239</v>
      </c>
      <c r="C12" s="805" t="s">
        <v>118</v>
      </c>
      <c r="D12" s="75"/>
      <c r="E12" s="42" t="s">
        <v>53</v>
      </c>
      <c r="F12" s="75" t="s">
        <v>295</v>
      </c>
      <c r="N12" s="43" t="s">
        <v>378</v>
      </c>
      <c r="O12" s="75" t="s">
        <v>379</v>
      </c>
      <c r="Q12" s="747" t="s">
        <v>1658</v>
      </c>
      <c r="R12" s="75" t="s">
        <v>1588</v>
      </c>
      <c r="T12" s="136" t="s">
        <v>94</v>
      </c>
      <c r="U12" s="75" t="s">
        <v>345</v>
      </c>
      <c r="AB12" s="107" t="s">
        <v>363</v>
      </c>
      <c r="AC12" s="107" t="s">
        <v>375</v>
      </c>
    </row>
    <row r="13" spans="1:32" ht="25.5" x14ac:dyDescent="0.2">
      <c r="A13" s="804" t="s">
        <v>119</v>
      </c>
      <c r="B13" s="804">
        <v>7.0000000000000001E-3</v>
      </c>
      <c r="C13" s="805" t="s">
        <v>120</v>
      </c>
      <c r="D13" s="75"/>
      <c r="E13" s="42" t="s">
        <v>46</v>
      </c>
      <c r="F13" s="75" t="s">
        <v>296</v>
      </c>
      <c r="Q13" s="747" t="s">
        <v>1659</v>
      </c>
      <c r="R13" s="75" t="s">
        <v>1589</v>
      </c>
      <c r="T13" s="136" t="s">
        <v>316</v>
      </c>
      <c r="U13" s="75" t="s">
        <v>346</v>
      </c>
    </row>
    <row r="14" spans="1:32" ht="25.5" x14ac:dyDescent="0.2">
      <c r="A14" s="804" t="s">
        <v>121</v>
      </c>
      <c r="B14" s="804">
        <v>3.7000000000000002E-3</v>
      </c>
      <c r="C14" s="805" t="s">
        <v>122</v>
      </c>
      <c r="D14" s="75"/>
      <c r="E14" s="42" t="s">
        <v>54</v>
      </c>
      <c r="F14" s="75" t="s">
        <v>314</v>
      </c>
      <c r="Q14" s="747" t="s">
        <v>1660</v>
      </c>
      <c r="R14" s="75" t="s">
        <v>1590</v>
      </c>
      <c r="T14" s="136" t="s">
        <v>330</v>
      </c>
      <c r="U14" s="75" t="s">
        <v>347</v>
      </c>
    </row>
    <row r="15" spans="1:32" x14ac:dyDescent="0.2">
      <c r="A15" s="804" t="s">
        <v>123</v>
      </c>
      <c r="B15" s="804">
        <v>2E-3</v>
      </c>
      <c r="C15" s="805" t="s">
        <v>124</v>
      </c>
      <c r="D15" s="75"/>
      <c r="E15" s="47" t="s">
        <v>47</v>
      </c>
      <c r="F15" s="75" t="s">
        <v>318</v>
      </c>
      <c r="Q15" s="107" t="s">
        <v>1661</v>
      </c>
      <c r="R15" s="75" t="s">
        <v>1591</v>
      </c>
      <c r="T15" s="136" t="s">
        <v>330</v>
      </c>
      <c r="U15" s="75" t="s">
        <v>348</v>
      </c>
    </row>
    <row r="16" spans="1:32" x14ac:dyDescent="0.2">
      <c r="A16" s="804" t="s">
        <v>125</v>
      </c>
      <c r="B16" s="804">
        <v>1.1000000000000001E-3</v>
      </c>
      <c r="C16" s="805" t="s">
        <v>126</v>
      </c>
      <c r="D16" s="75"/>
      <c r="E16" s="42" t="s">
        <v>48</v>
      </c>
      <c r="F16" s="75" t="s">
        <v>328</v>
      </c>
      <c r="Q16" s="107" t="s">
        <v>1662</v>
      </c>
      <c r="R16" s="75" t="s">
        <v>1592</v>
      </c>
    </row>
    <row r="17" spans="1:18" ht="25.5" x14ac:dyDescent="0.2">
      <c r="A17" s="804" t="s">
        <v>127</v>
      </c>
      <c r="B17" s="804">
        <v>274</v>
      </c>
      <c r="C17" s="805" t="s">
        <v>128</v>
      </c>
      <c r="D17" s="75"/>
      <c r="E17" s="47" t="s">
        <v>49</v>
      </c>
      <c r="F17" s="75" t="s">
        <v>329</v>
      </c>
      <c r="Q17" s="747" t="s">
        <v>1663</v>
      </c>
      <c r="R17" s="75" t="s">
        <v>1593</v>
      </c>
    </row>
    <row r="18" spans="1:18" ht="25.5" x14ac:dyDescent="0.2">
      <c r="A18" s="804" t="s">
        <v>129</v>
      </c>
      <c r="B18" s="804">
        <v>625.5</v>
      </c>
      <c r="C18" s="805" t="s">
        <v>130</v>
      </c>
      <c r="D18" s="75"/>
      <c r="E18" s="42" t="s">
        <v>315</v>
      </c>
      <c r="F18" s="75" t="s">
        <v>388</v>
      </c>
      <c r="Q18" s="747" t="s">
        <v>1664</v>
      </c>
      <c r="R18" s="75" t="s">
        <v>1594</v>
      </c>
    </row>
    <row r="19" spans="1:18" x14ac:dyDescent="0.2">
      <c r="A19" s="804" t="s">
        <v>131</v>
      </c>
      <c r="B19" s="804">
        <v>925.5</v>
      </c>
      <c r="C19" s="805" t="s">
        <v>132</v>
      </c>
      <c r="D19" s="75"/>
      <c r="Q19" s="747" t="s">
        <v>1595</v>
      </c>
      <c r="R19" s="75" t="s">
        <v>1596</v>
      </c>
    </row>
    <row r="20" spans="1:18" x14ac:dyDescent="0.2">
      <c r="A20" s="804"/>
      <c r="B20" s="804"/>
      <c r="C20" s="805"/>
      <c r="D20" s="75"/>
      <c r="Q20" s="107"/>
    </row>
    <row r="21" spans="1:18" x14ac:dyDescent="0.2">
      <c r="A21" s="804" t="s">
        <v>133</v>
      </c>
      <c r="B21" s="804">
        <v>0.8</v>
      </c>
      <c r="C21" s="805" t="s">
        <v>134</v>
      </c>
      <c r="D21" s="75"/>
      <c r="Q21" s="107"/>
    </row>
    <row r="22" spans="1:18" x14ac:dyDescent="0.2">
      <c r="A22" s="74"/>
      <c r="B22" s="74"/>
      <c r="C22" s="75"/>
      <c r="D22" s="75"/>
      <c r="Q22" s="107"/>
    </row>
    <row r="23" spans="1:18" x14ac:dyDescent="0.2">
      <c r="A23" s="76" t="s">
        <v>135</v>
      </c>
      <c r="B23" s="76"/>
      <c r="C23" s="77"/>
      <c r="D23" s="75"/>
      <c r="Q23" s="107"/>
    </row>
    <row r="24" spans="1:18" x14ac:dyDescent="0.2">
      <c r="A24" s="74" t="s">
        <v>136</v>
      </c>
      <c r="B24" s="74">
        <v>285</v>
      </c>
      <c r="C24" s="75" t="s">
        <v>137</v>
      </c>
      <c r="D24" s="75"/>
      <c r="Q24" s="107"/>
    </row>
    <row r="25" spans="1:18" x14ac:dyDescent="0.2">
      <c r="A25" s="74" t="s">
        <v>138</v>
      </c>
      <c r="B25" s="74">
        <v>93</v>
      </c>
      <c r="C25" s="75" t="s">
        <v>139</v>
      </c>
      <c r="D25" s="75"/>
    </row>
    <row r="26" spans="1:18" x14ac:dyDescent="0.2">
      <c r="A26" s="74"/>
      <c r="B26" s="74"/>
      <c r="C26" s="75"/>
      <c r="D26" s="75"/>
    </row>
    <row r="27" spans="1:18" x14ac:dyDescent="0.2">
      <c r="A27" s="74" t="s">
        <v>140</v>
      </c>
      <c r="B27" s="74">
        <v>455</v>
      </c>
      <c r="C27" s="75" t="s">
        <v>141</v>
      </c>
      <c r="D27" s="75"/>
    </row>
    <row r="28" spans="1:18" x14ac:dyDescent="0.2">
      <c r="A28" s="74" t="s">
        <v>142</v>
      </c>
      <c r="B28" s="74">
        <v>110</v>
      </c>
      <c r="C28" s="75" t="s">
        <v>143</v>
      </c>
      <c r="D28" s="75"/>
    </row>
    <row r="29" spans="1:18" x14ac:dyDescent="0.2">
      <c r="A29" s="74" t="s">
        <v>144</v>
      </c>
      <c r="B29" s="74"/>
      <c r="C29" s="75" t="s">
        <v>145</v>
      </c>
      <c r="D29" s="75"/>
    </row>
    <row r="30" spans="1:18" x14ac:dyDescent="0.2">
      <c r="A30" s="74" t="s">
        <v>146</v>
      </c>
      <c r="B30" s="74">
        <v>170</v>
      </c>
      <c r="C30" s="75" t="s">
        <v>147</v>
      </c>
      <c r="D30" s="75"/>
    </row>
    <row r="31" spans="1:18" x14ac:dyDescent="0.2">
      <c r="A31" s="74" t="s">
        <v>111</v>
      </c>
      <c r="B31" s="74">
        <v>3</v>
      </c>
      <c r="C31" s="75" t="s">
        <v>148</v>
      </c>
      <c r="D31" s="75"/>
    </row>
    <row r="32" spans="1:18" x14ac:dyDescent="0.2">
      <c r="A32" s="74" t="s">
        <v>149</v>
      </c>
      <c r="B32" s="74">
        <v>1000</v>
      </c>
      <c r="C32" s="75" t="s">
        <v>150</v>
      </c>
      <c r="D32" s="75"/>
    </row>
    <row r="33" spans="1:4" x14ac:dyDescent="0.2">
      <c r="A33" s="74" t="s">
        <v>151</v>
      </c>
      <c r="B33" s="74">
        <v>1.7</v>
      </c>
      <c r="C33" s="75" t="s">
        <v>152</v>
      </c>
      <c r="D33" s="75"/>
    </row>
    <row r="34" spans="1:4" x14ac:dyDescent="0.2">
      <c r="A34" s="74" t="s">
        <v>153</v>
      </c>
      <c r="B34" s="74">
        <v>1425</v>
      </c>
      <c r="C34" s="75" t="s">
        <v>154</v>
      </c>
      <c r="D34" s="75"/>
    </row>
    <row r="35" spans="1:4" x14ac:dyDescent="0.2">
      <c r="A35" s="74" t="s">
        <v>155</v>
      </c>
      <c r="B35" s="74">
        <v>1</v>
      </c>
      <c r="C35" s="75" t="s">
        <v>156</v>
      </c>
      <c r="D35" s="75"/>
    </row>
    <row r="36" spans="1:4" x14ac:dyDescent="0.2">
      <c r="A36" s="74" t="s">
        <v>157</v>
      </c>
      <c r="B36" s="74">
        <v>1975</v>
      </c>
      <c r="C36" s="75" t="s">
        <v>158</v>
      </c>
      <c r="D36" s="75"/>
    </row>
    <row r="37" spans="1:4" x14ac:dyDescent="0.2">
      <c r="A37" s="74" t="s">
        <v>159</v>
      </c>
      <c r="B37" s="74">
        <v>0.8</v>
      </c>
      <c r="C37" s="75" t="s">
        <v>160</v>
      </c>
      <c r="D37" s="75"/>
    </row>
    <row r="38" spans="1:4" x14ac:dyDescent="0.2">
      <c r="A38" s="74" t="s">
        <v>161</v>
      </c>
      <c r="B38" s="74">
        <v>9475</v>
      </c>
      <c r="C38" s="75" t="s">
        <v>162</v>
      </c>
      <c r="D38" s="75"/>
    </row>
    <row r="39" spans="1:4" x14ac:dyDescent="0.2">
      <c r="A39" s="74" t="s">
        <v>159</v>
      </c>
      <c r="B39" s="74">
        <v>0.8</v>
      </c>
      <c r="C39" s="75" t="s">
        <v>163</v>
      </c>
      <c r="D39" s="75"/>
    </row>
    <row r="40" spans="1:4" s="703" customFormat="1" x14ac:dyDescent="0.2">
      <c r="A40" s="108" t="s">
        <v>164</v>
      </c>
      <c r="B40" s="108">
        <v>665</v>
      </c>
      <c r="C40" s="702" t="s">
        <v>165</v>
      </c>
      <c r="D40" s="702"/>
    </row>
    <row r="41" spans="1:4" s="703" customFormat="1" x14ac:dyDescent="0.2">
      <c r="A41" s="108" t="s">
        <v>166</v>
      </c>
      <c r="B41" s="108">
        <v>65</v>
      </c>
      <c r="C41" s="702" t="s">
        <v>167</v>
      </c>
      <c r="D41" s="702"/>
    </row>
    <row r="42" spans="1:4" s="703" customFormat="1" x14ac:dyDescent="0.2">
      <c r="A42" s="108" t="s">
        <v>168</v>
      </c>
      <c r="B42" s="108">
        <v>330</v>
      </c>
      <c r="C42" s="702" t="s">
        <v>169</v>
      </c>
      <c r="D42" s="702"/>
    </row>
    <row r="43" spans="1:4" s="703" customFormat="1" x14ac:dyDescent="0.2">
      <c r="A43" s="108" t="s">
        <v>170</v>
      </c>
      <c r="B43" s="108">
        <v>53</v>
      </c>
      <c r="C43" s="702" t="s">
        <v>171</v>
      </c>
      <c r="D43" s="702"/>
    </row>
    <row r="44" spans="1:4" s="703" customFormat="1" x14ac:dyDescent="0.2">
      <c r="A44" s="108" t="s">
        <v>172</v>
      </c>
      <c r="B44" s="108">
        <v>330</v>
      </c>
      <c r="C44" s="702" t="s">
        <v>173</v>
      </c>
      <c r="D44" s="702"/>
    </row>
    <row r="45" spans="1:4" s="703" customFormat="1" x14ac:dyDescent="0.2">
      <c r="A45" s="108" t="s">
        <v>174</v>
      </c>
      <c r="B45" s="108">
        <v>65</v>
      </c>
      <c r="C45" s="702" t="s">
        <v>175</v>
      </c>
      <c r="D45" s="702"/>
    </row>
    <row r="46" spans="1:4" x14ac:dyDescent="0.2">
      <c r="A46" s="74" t="s">
        <v>34</v>
      </c>
      <c r="B46" s="74">
        <v>120</v>
      </c>
      <c r="C46" s="75" t="s">
        <v>176</v>
      </c>
      <c r="D46" s="75"/>
    </row>
    <row r="47" spans="1:4" x14ac:dyDescent="0.2">
      <c r="A47" s="74" t="s">
        <v>177</v>
      </c>
      <c r="B47" s="74">
        <v>85</v>
      </c>
      <c r="C47" s="75" t="s">
        <v>178</v>
      </c>
      <c r="D47" s="75"/>
    </row>
    <row r="48" spans="1:4" x14ac:dyDescent="0.2">
      <c r="A48" s="74"/>
      <c r="B48" s="74"/>
      <c r="C48" s="75"/>
      <c r="D48" s="75"/>
    </row>
    <row r="49" spans="1:4" x14ac:dyDescent="0.2">
      <c r="A49" s="74" t="s">
        <v>179</v>
      </c>
      <c r="B49" s="74">
        <v>920</v>
      </c>
      <c r="C49" s="75" t="s">
        <v>180</v>
      </c>
      <c r="D49" s="75"/>
    </row>
    <row r="50" spans="1:4" x14ac:dyDescent="0.2">
      <c r="A50" s="74"/>
      <c r="B50" s="74"/>
      <c r="C50" s="75"/>
      <c r="D50" s="75"/>
    </row>
    <row r="51" spans="1:4" x14ac:dyDescent="0.2">
      <c r="A51" s="74" t="s">
        <v>114</v>
      </c>
      <c r="B51" s="74">
        <v>285</v>
      </c>
      <c r="C51" s="75" t="s">
        <v>181</v>
      </c>
      <c r="D51" s="75"/>
    </row>
    <row r="52" spans="1:4" x14ac:dyDescent="0.2">
      <c r="A52" s="74" t="s">
        <v>182</v>
      </c>
      <c r="B52" s="74">
        <v>285</v>
      </c>
      <c r="C52" s="75" t="s">
        <v>183</v>
      </c>
      <c r="D52" s="75"/>
    </row>
    <row r="53" spans="1:4" x14ac:dyDescent="0.2">
      <c r="A53" s="74" t="s">
        <v>21</v>
      </c>
      <c r="B53" s="74">
        <v>285</v>
      </c>
      <c r="C53" s="75" t="s">
        <v>184</v>
      </c>
      <c r="D53" s="75"/>
    </row>
    <row r="54" spans="1:4" x14ac:dyDescent="0.2">
      <c r="A54" s="74"/>
      <c r="B54" s="74"/>
      <c r="C54" s="75"/>
      <c r="D54" s="75"/>
    </row>
    <row r="55" spans="1:4" x14ac:dyDescent="0.2">
      <c r="A55" s="74" t="s">
        <v>185</v>
      </c>
      <c r="B55" s="74">
        <v>320</v>
      </c>
      <c r="C55" s="75" t="s">
        <v>186</v>
      </c>
      <c r="D55" s="75"/>
    </row>
    <row r="56" spans="1:4" x14ac:dyDescent="0.2">
      <c r="A56" s="74" t="s">
        <v>187</v>
      </c>
      <c r="B56" s="74">
        <v>2220</v>
      </c>
      <c r="C56" s="75" t="s">
        <v>188</v>
      </c>
      <c r="D56" s="75"/>
    </row>
    <row r="57" spans="1:4" x14ac:dyDescent="0.2">
      <c r="A57" s="74" t="s">
        <v>189</v>
      </c>
      <c r="B57" s="74">
        <v>220</v>
      </c>
      <c r="C57" s="75" t="s">
        <v>190</v>
      </c>
      <c r="D57" s="75"/>
    </row>
    <row r="58" spans="1:4" x14ac:dyDescent="0.2">
      <c r="A58" s="74" t="s">
        <v>191</v>
      </c>
      <c r="B58" s="74">
        <v>131</v>
      </c>
      <c r="C58" s="75" t="s">
        <v>192</v>
      </c>
      <c r="D58" s="75"/>
    </row>
    <row r="59" spans="1:4" x14ac:dyDescent="0.2">
      <c r="A59" s="78" t="s">
        <v>193</v>
      </c>
      <c r="B59" s="78">
        <v>215</v>
      </c>
      <c r="C59" s="79" t="s">
        <v>190</v>
      </c>
      <c r="D59" s="75"/>
    </row>
    <row r="60" spans="1:4" x14ac:dyDescent="0.2">
      <c r="A60" s="76" t="s">
        <v>194</v>
      </c>
      <c r="B60" s="76"/>
      <c r="C60" s="77"/>
      <c r="D60" s="75"/>
    </row>
    <row r="61" spans="1:4" x14ac:dyDescent="0.2">
      <c r="A61" s="74" t="s">
        <v>195</v>
      </c>
      <c r="B61" s="74">
        <v>71</v>
      </c>
      <c r="C61" s="75" t="s">
        <v>196</v>
      </c>
      <c r="D61" s="75"/>
    </row>
    <row r="62" spans="1:4" x14ac:dyDescent="0.2">
      <c r="A62" s="74"/>
      <c r="B62" s="74"/>
      <c r="C62" s="75"/>
      <c r="D62" s="75"/>
    </row>
    <row r="63" spans="1:4" x14ac:dyDescent="0.2">
      <c r="A63" s="74" t="s">
        <v>197</v>
      </c>
      <c r="B63" s="74">
        <v>645</v>
      </c>
      <c r="C63" s="75" t="s">
        <v>198</v>
      </c>
      <c r="D63" s="75"/>
    </row>
    <row r="64" spans="1:4" x14ac:dyDescent="0.2">
      <c r="A64" s="74" t="s">
        <v>199</v>
      </c>
      <c r="B64" s="74">
        <v>50</v>
      </c>
      <c r="C64" s="75" t="s">
        <v>200</v>
      </c>
      <c r="D64" s="75"/>
    </row>
    <row r="65" spans="1:4" x14ac:dyDescent="0.2">
      <c r="A65" s="74"/>
      <c r="B65" s="74"/>
      <c r="C65" s="75"/>
      <c r="D65" s="75"/>
    </row>
    <row r="66" spans="1:4" x14ac:dyDescent="0.2">
      <c r="A66" s="74" t="s">
        <v>201</v>
      </c>
      <c r="B66" s="74"/>
      <c r="C66" s="75" t="s">
        <v>202</v>
      </c>
      <c r="D66" s="75"/>
    </row>
    <row r="67" spans="1:4" x14ac:dyDescent="0.2">
      <c r="A67" s="74" t="s">
        <v>203</v>
      </c>
      <c r="B67" s="74">
        <v>100</v>
      </c>
      <c r="C67" s="75" t="s">
        <v>204</v>
      </c>
      <c r="D67" s="75"/>
    </row>
    <row r="68" spans="1:4" x14ac:dyDescent="0.2">
      <c r="A68" s="74" t="s">
        <v>205</v>
      </c>
      <c r="B68" s="74">
        <v>250</v>
      </c>
      <c r="C68" s="75" t="s">
        <v>206</v>
      </c>
      <c r="D68" s="75"/>
    </row>
    <row r="69" spans="1:4" x14ac:dyDescent="0.2">
      <c r="A69" s="74"/>
      <c r="B69" s="74"/>
      <c r="C69" s="75"/>
      <c r="D69" s="75"/>
    </row>
    <row r="70" spans="1:4" x14ac:dyDescent="0.2">
      <c r="A70" s="76" t="s">
        <v>207</v>
      </c>
      <c r="B70" s="76"/>
      <c r="C70" s="77"/>
      <c r="D70" s="75"/>
    </row>
    <row r="71" spans="1:4" x14ac:dyDescent="0.2">
      <c r="A71" s="74" t="s">
        <v>208</v>
      </c>
      <c r="B71" s="74">
        <v>50</v>
      </c>
      <c r="C71" s="75" t="s">
        <v>209</v>
      </c>
      <c r="D71" s="75"/>
    </row>
    <row r="72" spans="1:4" x14ac:dyDescent="0.2">
      <c r="A72" s="74" t="s">
        <v>210</v>
      </c>
      <c r="B72" s="74">
        <v>50</v>
      </c>
      <c r="C72" s="75" t="s">
        <v>211</v>
      </c>
      <c r="D72" s="75"/>
    </row>
    <row r="73" spans="1:4" x14ac:dyDescent="0.2">
      <c r="A73" s="74" t="s">
        <v>212</v>
      </c>
      <c r="B73" s="74">
        <v>190</v>
      </c>
      <c r="C73" s="75" t="s">
        <v>213</v>
      </c>
      <c r="D73" s="75"/>
    </row>
    <row r="74" spans="1:4" x14ac:dyDescent="0.2">
      <c r="A74" s="74" t="s">
        <v>214</v>
      </c>
      <c r="B74" s="74"/>
      <c r="C74" s="75" t="s">
        <v>215</v>
      </c>
      <c r="D74" s="75"/>
    </row>
    <row r="75" spans="1:4" x14ac:dyDescent="0.2">
      <c r="A75" s="74" t="s">
        <v>142</v>
      </c>
      <c r="B75" s="74">
        <v>55</v>
      </c>
      <c r="C75" s="75" t="s">
        <v>216</v>
      </c>
      <c r="D75" s="75"/>
    </row>
    <row r="76" spans="1:4" x14ac:dyDescent="0.2">
      <c r="A76" s="74" t="s">
        <v>146</v>
      </c>
      <c r="B76" s="74">
        <v>85</v>
      </c>
      <c r="C76" s="75" t="s">
        <v>217</v>
      </c>
      <c r="D76" s="75"/>
    </row>
    <row r="77" spans="1:4" x14ac:dyDescent="0.2">
      <c r="A77" s="74" t="s">
        <v>111</v>
      </c>
      <c r="B77" s="74">
        <v>1.5</v>
      </c>
      <c r="C77" s="75" t="s">
        <v>218</v>
      </c>
      <c r="D77" s="75"/>
    </row>
    <row r="78" spans="1:4" x14ac:dyDescent="0.2">
      <c r="A78" s="74" t="s">
        <v>149</v>
      </c>
      <c r="B78" s="74">
        <v>500</v>
      </c>
      <c r="C78" s="75" t="s">
        <v>219</v>
      </c>
      <c r="D78" s="75"/>
    </row>
    <row r="79" spans="1:4" x14ac:dyDescent="0.2">
      <c r="A79" s="74" t="s">
        <v>151</v>
      </c>
      <c r="B79" s="74">
        <v>0.85</v>
      </c>
      <c r="C79" s="75" t="s">
        <v>220</v>
      </c>
      <c r="D79" s="75"/>
    </row>
    <row r="80" spans="1:4" x14ac:dyDescent="0.2">
      <c r="A80" s="74" t="s">
        <v>153</v>
      </c>
      <c r="B80" s="74">
        <v>712</v>
      </c>
      <c r="C80" s="75" t="s">
        <v>221</v>
      </c>
      <c r="D80" s="75"/>
    </row>
    <row r="81" spans="1:4" x14ac:dyDescent="0.2">
      <c r="A81" s="74" t="s">
        <v>155</v>
      </c>
      <c r="B81" s="74">
        <v>0.5</v>
      </c>
      <c r="C81" s="75" t="s">
        <v>222</v>
      </c>
      <c r="D81" s="75"/>
    </row>
    <row r="82" spans="1:4" x14ac:dyDescent="0.2">
      <c r="A82" s="74" t="s">
        <v>157</v>
      </c>
      <c r="B82" s="74">
        <v>987</v>
      </c>
      <c r="C82" s="75" t="s">
        <v>223</v>
      </c>
      <c r="D82" s="75"/>
    </row>
    <row r="83" spans="1:4" x14ac:dyDescent="0.2">
      <c r="A83" s="74" t="s">
        <v>159</v>
      </c>
      <c r="B83" s="74">
        <v>0.4</v>
      </c>
      <c r="C83" s="75" t="s">
        <v>224</v>
      </c>
      <c r="D83" s="75"/>
    </row>
    <row r="84" spans="1:4" x14ac:dyDescent="0.2">
      <c r="A84" s="74" t="s">
        <v>161</v>
      </c>
      <c r="B84" s="74">
        <v>4737</v>
      </c>
      <c r="C84" s="75" t="s">
        <v>225</v>
      </c>
      <c r="D84" s="75"/>
    </row>
    <row r="85" spans="1:4" x14ac:dyDescent="0.2">
      <c r="A85" s="74" t="s">
        <v>159</v>
      </c>
      <c r="B85" s="74">
        <v>0.27</v>
      </c>
      <c r="C85" s="75" t="s">
        <v>226</v>
      </c>
      <c r="D85" s="75"/>
    </row>
    <row r="86" spans="1:4" x14ac:dyDescent="0.2">
      <c r="A86" s="74" t="s">
        <v>227</v>
      </c>
      <c r="B86" s="74">
        <v>760</v>
      </c>
      <c r="C86" s="75" t="s">
        <v>228</v>
      </c>
      <c r="D86" s="75"/>
    </row>
    <row r="87" spans="1:4" x14ac:dyDescent="0.2">
      <c r="A87" s="74" t="s">
        <v>229</v>
      </c>
      <c r="B87" s="74">
        <v>0.3</v>
      </c>
      <c r="C87" s="75" t="s">
        <v>230</v>
      </c>
      <c r="D87" s="75"/>
    </row>
    <row r="88" spans="1:4" x14ac:dyDescent="0.2">
      <c r="A88" s="664" t="s">
        <v>231</v>
      </c>
      <c r="B88" s="664"/>
      <c r="C88" s="665"/>
      <c r="D88" s="75"/>
    </row>
    <row r="89" spans="1:4" x14ac:dyDescent="0.2">
      <c r="A89" s="664" t="s">
        <v>232</v>
      </c>
      <c r="B89" s="664">
        <v>87</v>
      </c>
      <c r="C89" s="665" t="s">
        <v>233</v>
      </c>
      <c r="D89" s="75"/>
    </row>
    <row r="90" spans="1:4" x14ac:dyDescent="0.2">
      <c r="A90" s="664" t="s">
        <v>234</v>
      </c>
      <c r="B90" s="664">
        <v>87</v>
      </c>
      <c r="C90" s="665" t="s">
        <v>235</v>
      </c>
      <c r="D90" s="75"/>
    </row>
    <row r="91" spans="1:4" x14ac:dyDescent="0.2">
      <c r="A91" s="664" t="s">
        <v>236</v>
      </c>
      <c r="B91" s="664">
        <v>120</v>
      </c>
      <c r="C91" s="665" t="s">
        <v>237</v>
      </c>
      <c r="D91" s="75"/>
    </row>
    <row r="92" spans="1:4" x14ac:dyDescent="0.2">
      <c r="A92" s="664" t="s">
        <v>238</v>
      </c>
      <c r="B92" s="664">
        <v>750</v>
      </c>
      <c r="C92" s="665" t="s">
        <v>239</v>
      </c>
      <c r="D92" s="75"/>
    </row>
    <row r="93" spans="1:4" x14ac:dyDescent="0.2">
      <c r="A93" s="664" t="s">
        <v>240</v>
      </c>
      <c r="B93" s="664">
        <v>950</v>
      </c>
      <c r="C93" s="665" t="s">
        <v>241</v>
      </c>
      <c r="D93" s="75"/>
    </row>
    <row r="94" spans="1:4" x14ac:dyDescent="0.2">
      <c r="A94" s="664" t="s">
        <v>242</v>
      </c>
      <c r="B94" s="664">
        <v>130</v>
      </c>
      <c r="C94" s="665" t="s">
        <v>243</v>
      </c>
      <c r="D94" s="75"/>
    </row>
    <row r="95" spans="1:4" x14ac:dyDescent="0.2">
      <c r="A95" s="664" t="s">
        <v>244</v>
      </c>
      <c r="B95" s="664">
        <v>250000</v>
      </c>
      <c r="C95" s="665" t="s">
        <v>245</v>
      </c>
      <c r="D95" s="75"/>
    </row>
    <row r="96" spans="1:4" x14ac:dyDescent="0.2">
      <c r="A96" s="664" t="s">
        <v>244</v>
      </c>
      <c r="B96" s="664">
        <v>1000000</v>
      </c>
      <c r="C96" s="665" t="s">
        <v>246</v>
      </c>
      <c r="D96" s="75"/>
    </row>
    <row r="97" spans="1:4" x14ac:dyDescent="0.2">
      <c r="A97" s="108" t="s">
        <v>1537</v>
      </c>
      <c r="B97" s="108">
        <v>92</v>
      </c>
      <c r="C97" s="702" t="s">
        <v>1538</v>
      </c>
      <c r="D97" s="75"/>
    </row>
    <row r="98" spans="1:4" x14ac:dyDescent="0.2">
      <c r="A98" s="108" t="s">
        <v>312</v>
      </c>
      <c r="B98" s="108">
        <v>94</v>
      </c>
      <c r="C98" s="75" t="s">
        <v>313</v>
      </c>
      <c r="D98" s="75"/>
    </row>
    <row r="99" spans="1:4" x14ac:dyDescent="0.2">
      <c r="A99" s="74" t="s">
        <v>15</v>
      </c>
      <c r="B99" s="74">
        <v>94</v>
      </c>
      <c r="C99" s="75" t="s">
        <v>247</v>
      </c>
      <c r="D99" s="75"/>
    </row>
    <row r="100" spans="1:4" x14ac:dyDescent="0.2">
      <c r="A100" s="74" t="s">
        <v>16</v>
      </c>
      <c r="B100" s="74">
        <v>94</v>
      </c>
      <c r="C100" s="75" t="s">
        <v>248</v>
      </c>
      <c r="D100" s="75"/>
    </row>
    <row r="101" spans="1:4" x14ac:dyDescent="0.2">
      <c r="A101" s="74" t="s">
        <v>17</v>
      </c>
      <c r="B101" s="74">
        <v>94</v>
      </c>
      <c r="C101" s="75" t="s">
        <v>249</v>
      </c>
      <c r="D101" s="75"/>
    </row>
    <row r="102" spans="1:4" x14ac:dyDescent="0.2">
      <c r="A102" s="74" t="s">
        <v>95</v>
      </c>
      <c r="B102" s="74">
        <v>188</v>
      </c>
      <c r="C102" s="75" t="s">
        <v>250</v>
      </c>
      <c r="D102" s="75"/>
    </row>
    <row r="103" spans="1:4" x14ac:dyDescent="0.2">
      <c r="A103" s="74" t="s">
        <v>251</v>
      </c>
      <c r="B103" s="74">
        <v>367</v>
      </c>
      <c r="C103" s="75" t="s">
        <v>252</v>
      </c>
      <c r="D103" s="75"/>
    </row>
    <row r="104" spans="1:4" x14ac:dyDescent="0.2">
      <c r="A104" s="108" t="s">
        <v>253</v>
      </c>
      <c r="B104" s="108">
        <v>52</v>
      </c>
      <c r="C104" s="702" t="s">
        <v>254</v>
      </c>
      <c r="D104" s="75"/>
    </row>
    <row r="105" spans="1:4" x14ac:dyDescent="0.2">
      <c r="A105" s="108" t="s">
        <v>255</v>
      </c>
      <c r="B105" s="108">
        <v>4.7300000000000004</v>
      </c>
      <c r="C105" s="702" t="s">
        <v>256</v>
      </c>
      <c r="D105" s="75"/>
    </row>
    <row r="106" spans="1:4" x14ac:dyDescent="0.2">
      <c r="A106" s="108" t="s">
        <v>257</v>
      </c>
      <c r="B106" s="108"/>
      <c r="C106" s="702"/>
      <c r="D106" s="75"/>
    </row>
    <row r="107" spans="1:4" x14ac:dyDescent="0.2">
      <c r="A107" s="108" t="s">
        <v>258</v>
      </c>
      <c r="B107" s="108">
        <v>3.5000000000000001E-3</v>
      </c>
      <c r="C107" s="702" t="s">
        <v>259</v>
      </c>
      <c r="D107" s="75"/>
    </row>
    <row r="108" spans="1:4" x14ac:dyDescent="0.2">
      <c r="A108" s="108"/>
      <c r="B108" s="108"/>
      <c r="C108" s="702"/>
      <c r="D108" s="75"/>
    </row>
    <row r="109" spans="1:4" x14ac:dyDescent="0.2">
      <c r="A109" s="108" t="s">
        <v>260</v>
      </c>
      <c r="B109" s="108"/>
      <c r="C109" s="702"/>
      <c r="D109" s="75"/>
    </row>
    <row r="110" spans="1:4" x14ac:dyDescent="0.2">
      <c r="A110" s="108" t="s">
        <v>261</v>
      </c>
      <c r="B110" s="108">
        <v>0.64</v>
      </c>
      <c r="C110" s="702" t="s">
        <v>262</v>
      </c>
      <c r="D110" s="75"/>
    </row>
    <row r="111" spans="1:4" x14ac:dyDescent="0.2">
      <c r="A111" s="108"/>
      <c r="B111" s="108"/>
      <c r="C111" s="702"/>
      <c r="D111" s="75"/>
    </row>
    <row r="112" spans="1:4" x14ac:dyDescent="0.2">
      <c r="A112" s="108" t="s">
        <v>263</v>
      </c>
      <c r="B112" s="108"/>
      <c r="C112" s="702"/>
      <c r="D112" s="75"/>
    </row>
    <row r="113" spans="1:4" x14ac:dyDescent="0.2">
      <c r="A113" s="806" t="s">
        <v>264</v>
      </c>
      <c r="B113" s="806">
        <v>1.5</v>
      </c>
      <c r="C113" s="702" t="s">
        <v>265</v>
      </c>
      <c r="D113" s="75"/>
    </row>
    <row r="114" spans="1:4" x14ac:dyDescent="0.2">
      <c r="A114" s="806" t="s">
        <v>266</v>
      </c>
      <c r="B114" s="806">
        <v>2</v>
      </c>
      <c r="C114" s="702" t="s">
        <v>267</v>
      </c>
      <c r="D114" s="75"/>
    </row>
    <row r="115" spans="1:4" x14ac:dyDescent="0.2">
      <c r="A115" s="806" t="s">
        <v>62</v>
      </c>
      <c r="B115" s="806">
        <v>10</v>
      </c>
      <c r="C115" s="702" t="s">
        <v>268</v>
      </c>
      <c r="D115" s="75"/>
    </row>
    <row r="116" spans="1:4" x14ac:dyDescent="0.2">
      <c r="A116" s="108"/>
      <c r="B116" s="108"/>
      <c r="C116" s="702" t="s">
        <v>269</v>
      </c>
      <c r="D116" s="75"/>
    </row>
    <row r="117" spans="1:4" x14ac:dyDescent="0.2">
      <c r="A117" s="806" t="s">
        <v>270</v>
      </c>
      <c r="B117" s="108">
        <v>46</v>
      </c>
      <c r="C117" s="702" t="s">
        <v>271</v>
      </c>
      <c r="D117" s="75"/>
    </row>
    <row r="118" spans="1:4" x14ac:dyDescent="0.2">
      <c r="A118" s="806" t="s">
        <v>272</v>
      </c>
      <c r="B118" s="108">
        <v>158</v>
      </c>
      <c r="C118" s="702" t="s">
        <v>273</v>
      </c>
      <c r="D118" s="75"/>
    </row>
    <row r="119" spans="1:4" x14ac:dyDescent="0.2">
      <c r="A119" s="806" t="s">
        <v>274</v>
      </c>
      <c r="B119" s="108">
        <v>116</v>
      </c>
      <c r="C119" s="702" t="s">
        <v>275</v>
      </c>
      <c r="D119" s="75"/>
    </row>
    <row r="120" spans="1:4" x14ac:dyDescent="0.2">
      <c r="A120" s="806" t="s">
        <v>276</v>
      </c>
      <c r="B120" s="108">
        <v>25000</v>
      </c>
      <c r="C120" s="702" t="s">
        <v>277</v>
      </c>
      <c r="D120" s="75"/>
    </row>
    <row r="121" spans="1:4" x14ac:dyDescent="0.2">
      <c r="A121" s="806" t="s">
        <v>29</v>
      </c>
      <c r="B121" s="108">
        <v>140</v>
      </c>
      <c r="C121" s="702" t="s">
        <v>278</v>
      </c>
      <c r="D121" s="75"/>
    </row>
    <row r="122" spans="1:4" x14ac:dyDescent="0.2">
      <c r="A122" s="806" t="s">
        <v>37</v>
      </c>
      <c r="B122" s="108">
        <v>321</v>
      </c>
      <c r="C122" s="702" t="s">
        <v>279</v>
      </c>
      <c r="D122" s="75"/>
    </row>
    <row r="123" spans="1:4" x14ac:dyDescent="0.2">
      <c r="A123" s="806" t="s">
        <v>323</v>
      </c>
      <c r="B123" s="108">
        <v>86</v>
      </c>
      <c r="C123" s="702" t="s">
        <v>324</v>
      </c>
    </row>
    <row r="124" spans="1:4" x14ac:dyDescent="0.2">
      <c r="A124" s="666" t="s">
        <v>1509</v>
      </c>
      <c r="B124" s="666"/>
      <c r="C124" s="669"/>
    </row>
    <row r="125" spans="1:4" x14ac:dyDescent="0.2">
      <c r="A125" s="670" t="s">
        <v>19</v>
      </c>
      <c r="B125" s="667"/>
      <c r="C125" s="669"/>
    </row>
    <row r="126" spans="1:4" x14ac:dyDescent="0.2">
      <c r="A126" s="670" t="s">
        <v>1510</v>
      </c>
      <c r="B126" s="668">
        <v>190</v>
      </c>
      <c r="C126" s="669" t="s">
        <v>1499</v>
      </c>
    </row>
    <row r="127" spans="1:4" x14ac:dyDescent="0.2">
      <c r="A127" s="670" t="s">
        <v>1511</v>
      </c>
      <c r="B127" s="668">
        <v>210</v>
      </c>
      <c r="C127" s="669" t="s">
        <v>1500</v>
      </c>
    </row>
    <row r="128" spans="1:4" x14ac:dyDescent="0.2">
      <c r="A128" s="670" t="s">
        <v>1512</v>
      </c>
      <c r="B128" s="668">
        <v>262</v>
      </c>
      <c r="C128" s="669" t="s">
        <v>1501</v>
      </c>
    </row>
    <row r="129" spans="1:3" x14ac:dyDescent="0.2">
      <c r="A129" s="670" t="s">
        <v>1513</v>
      </c>
      <c r="B129" s="668">
        <v>374</v>
      </c>
      <c r="C129" s="669" t="s">
        <v>1502</v>
      </c>
    </row>
    <row r="130" spans="1:3" x14ac:dyDescent="0.2">
      <c r="A130" s="670" t="s">
        <v>1514</v>
      </c>
      <c r="B130" s="668">
        <v>441</v>
      </c>
      <c r="C130" s="669" t="s">
        <v>1503</v>
      </c>
    </row>
    <row r="131" spans="1:3" x14ac:dyDescent="0.2">
      <c r="A131" s="670" t="s">
        <v>1515</v>
      </c>
      <c r="B131" s="668">
        <v>508</v>
      </c>
      <c r="C131" s="669" t="s">
        <v>1504</v>
      </c>
    </row>
    <row r="132" spans="1:3" x14ac:dyDescent="0.2">
      <c r="A132" s="670" t="s">
        <v>1516</v>
      </c>
      <c r="B132" s="668">
        <v>539</v>
      </c>
      <c r="C132" s="669" t="s">
        <v>1505</v>
      </c>
    </row>
    <row r="133" spans="1:3" x14ac:dyDescent="0.2">
      <c r="A133" s="670" t="s">
        <v>1520</v>
      </c>
      <c r="B133" s="667">
        <v>94</v>
      </c>
      <c r="C133" s="669" t="s">
        <v>1506</v>
      </c>
    </row>
    <row r="134" spans="1:3" x14ac:dyDescent="0.2">
      <c r="A134" s="670" t="s">
        <v>20</v>
      </c>
      <c r="B134" s="667"/>
      <c r="C134" s="669"/>
    </row>
    <row r="135" spans="1:3" x14ac:dyDescent="0.2">
      <c r="A135" s="670" t="s">
        <v>1517</v>
      </c>
      <c r="B135" s="668">
        <v>246</v>
      </c>
      <c r="C135" s="669" t="s">
        <v>1507</v>
      </c>
    </row>
    <row r="136" spans="1:3" x14ac:dyDescent="0.2">
      <c r="A136" s="670" t="s">
        <v>1513</v>
      </c>
      <c r="B136" s="668">
        <v>385</v>
      </c>
      <c r="C136" s="669" t="s">
        <v>1508</v>
      </c>
    </row>
    <row r="137" spans="1:3" x14ac:dyDescent="0.2">
      <c r="A137" s="670" t="s">
        <v>1519</v>
      </c>
      <c r="B137" s="668">
        <v>790</v>
      </c>
      <c r="C137" s="669" t="s">
        <v>1521</v>
      </c>
    </row>
    <row r="138" spans="1:3" x14ac:dyDescent="0.2">
      <c r="A138" s="670" t="s">
        <v>1518</v>
      </c>
      <c r="B138" s="668">
        <v>980</v>
      </c>
      <c r="C138" s="669" t="s">
        <v>1522</v>
      </c>
    </row>
    <row r="139" spans="1:3" x14ac:dyDescent="0.2">
      <c r="A139" s="670" t="s">
        <v>1520</v>
      </c>
      <c r="B139" s="667">
        <v>133</v>
      </c>
      <c r="C139" s="669" t="s">
        <v>1523</v>
      </c>
    </row>
    <row r="140" spans="1:3" x14ac:dyDescent="0.2">
      <c r="A140" s="743" t="s">
        <v>1568</v>
      </c>
      <c r="B140" s="703">
        <v>43</v>
      </c>
      <c r="C140" s="702" t="s">
        <v>1569</v>
      </c>
    </row>
    <row r="141" spans="1:3" x14ac:dyDescent="0.2">
      <c r="A141" s="743" t="s">
        <v>1571</v>
      </c>
      <c r="B141" s="703">
        <v>116</v>
      </c>
      <c r="C141" s="702" t="s">
        <v>1570</v>
      </c>
    </row>
    <row r="142" spans="1:3" x14ac:dyDescent="0.2">
      <c r="C142" s="702"/>
    </row>
    <row r="143" spans="1:3" x14ac:dyDescent="0.2">
      <c r="A143" s="801" t="s">
        <v>1600</v>
      </c>
      <c r="B143" s="802"/>
      <c r="C143" s="803"/>
    </row>
    <row r="144" spans="1:3" x14ac:dyDescent="0.2">
      <c r="A144" s="801" t="s">
        <v>19</v>
      </c>
      <c r="B144" s="802"/>
      <c r="C144" s="803"/>
    </row>
    <row r="145" spans="1:3" x14ac:dyDescent="0.2">
      <c r="A145" s="801" t="s">
        <v>1601</v>
      </c>
      <c r="B145" s="802">
        <v>252</v>
      </c>
      <c r="C145" s="803" t="s">
        <v>1609</v>
      </c>
    </row>
    <row r="146" spans="1:3" x14ac:dyDescent="0.2">
      <c r="A146" s="801" t="s">
        <v>1602</v>
      </c>
      <c r="B146" s="802">
        <v>478</v>
      </c>
      <c r="C146" s="803" t="s">
        <v>1610</v>
      </c>
    </row>
    <row r="147" spans="1:3" x14ac:dyDescent="0.2">
      <c r="A147" s="801" t="s">
        <v>1603</v>
      </c>
      <c r="B147" s="802">
        <v>682</v>
      </c>
      <c r="C147" s="803" t="s">
        <v>1611</v>
      </c>
    </row>
    <row r="148" spans="1:3" x14ac:dyDescent="0.2">
      <c r="A148" s="801" t="s">
        <v>1604</v>
      </c>
      <c r="B148" s="802">
        <v>893</v>
      </c>
      <c r="C148" s="803" t="s">
        <v>1612</v>
      </c>
    </row>
    <row r="149" spans="1:3" x14ac:dyDescent="0.2">
      <c r="A149" s="801" t="s">
        <v>1605</v>
      </c>
      <c r="B149" s="802">
        <v>1029</v>
      </c>
      <c r="C149" s="803" t="s">
        <v>1613</v>
      </c>
    </row>
    <row r="150" spans="1:3" x14ac:dyDescent="0.2">
      <c r="A150" s="801" t="s">
        <v>1606</v>
      </c>
      <c r="B150" s="802">
        <v>1208</v>
      </c>
      <c r="C150" s="803" t="s">
        <v>1614</v>
      </c>
    </row>
    <row r="151" spans="1:3" x14ac:dyDescent="0.2">
      <c r="A151" s="801" t="s">
        <v>1607</v>
      </c>
      <c r="B151" s="801" t="s">
        <v>1608</v>
      </c>
      <c r="C151" s="803"/>
    </row>
    <row r="152" spans="1:3" x14ac:dyDescent="0.2">
      <c r="A152" s="801" t="s">
        <v>20</v>
      </c>
      <c r="B152" s="802"/>
      <c r="C152" s="803"/>
    </row>
    <row r="153" spans="1:3" x14ac:dyDescent="0.2">
      <c r="A153" s="801" t="s">
        <v>1615</v>
      </c>
      <c r="B153" s="801">
        <v>515</v>
      </c>
      <c r="C153" s="803" t="s">
        <v>1617</v>
      </c>
    </row>
    <row r="154" spans="1:3" x14ac:dyDescent="0.2">
      <c r="A154" s="801" t="s">
        <v>1604</v>
      </c>
      <c r="B154" s="801">
        <v>893</v>
      </c>
      <c r="C154" s="803" t="s">
        <v>1618</v>
      </c>
    </row>
    <row r="155" spans="1:3" x14ac:dyDescent="0.2">
      <c r="A155" s="801" t="s">
        <v>1616</v>
      </c>
      <c r="B155" s="801" t="s">
        <v>1608</v>
      </c>
      <c r="C155" s="803"/>
    </row>
    <row r="156" spans="1:3" x14ac:dyDescent="0.2">
      <c r="C156" s="702"/>
    </row>
    <row r="157" spans="1:3" x14ac:dyDescent="0.2">
      <c r="A157" s="807" t="s">
        <v>1619</v>
      </c>
      <c r="B157" s="807" t="s">
        <v>1608</v>
      </c>
      <c r="C157" s="849"/>
    </row>
    <row r="158" spans="1:3" x14ac:dyDescent="0.2">
      <c r="A158" s="807"/>
      <c r="B158" s="808"/>
      <c r="C158" s="849"/>
    </row>
    <row r="159" spans="1:3" x14ac:dyDescent="0.2">
      <c r="A159" s="743"/>
      <c r="B159" s="703"/>
      <c r="C159" s="702"/>
    </row>
    <row r="160" spans="1:3" x14ac:dyDescent="0.2">
      <c r="A160" s="848" t="s">
        <v>1624</v>
      </c>
      <c r="B160" s="674"/>
      <c r="C160" s="77"/>
    </row>
    <row r="161" spans="1:3" x14ac:dyDescent="0.2">
      <c r="A161" s="848" t="s">
        <v>19</v>
      </c>
      <c r="B161" s="674"/>
      <c r="C161" s="77"/>
    </row>
    <row r="162" spans="1:3" x14ac:dyDescent="0.2">
      <c r="A162" s="848" t="s">
        <v>1625</v>
      </c>
      <c r="B162" s="674">
        <v>268</v>
      </c>
      <c r="C162" s="77" t="s">
        <v>1628</v>
      </c>
    </row>
    <row r="163" spans="1:3" x14ac:dyDescent="0.2">
      <c r="A163" s="848" t="s">
        <v>1626</v>
      </c>
      <c r="B163" s="674">
        <v>336</v>
      </c>
      <c r="C163" s="77" t="s">
        <v>1629</v>
      </c>
    </row>
    <row r="164" spans="1:3" x14ac:dyDescent="0.2">
      <c r="A164" s="848" t="s">
        <v>1602</v>
      </c>
      <c r="B164" s="674">
        <v>410</v>
      </c>
      <c r="C164" s="77" t="s">
        <v>1630</v>
      </c>
    </row>
    <row r="165" spans="1:3" x14ac:dyDescent="0.2">
      <c r="A165" s="848" t="s">
        <v>1603</v>
      </c>
      <c r="B165" s="674">
        <v>504</v>
      </c>
      <c r="C165" s="77" t="s">
        <v>1631</v>
      </c>
    </row>
    <row r="166" spans="1:3" x14ac:dyDescent="0.2">
      <c r="A166" s="848" t="s">
        <v>1604</v>
      </c>
      <c r="B166" s="674">
        <v>935</v>
      </c>
      <c r="C166" s="77" t="s">
        <v>1632</v>
      </c>
    </row>
    <row r="167" spans="1:3" x14ac:dyDescent="0.2">
      <c r="A167" s="848" t="s">
        <v>1627</v>
      </c>
      <c r="B167" s="674">
        <v>1208</v>
      </c>
      <c r="C167" s="77" t="s">
        <v>1633</v>
      </c>
    </row>
    <row r="168" spans="1:3" x14ac:dyDescent="0.2">
      <c r="A168" s="848" t="s">
        <v>1607</v>
      </c>
      <c r="B168" s="674">
        <v>1870</v>
      </c>
      <c r="C168" s="77" t="s">
        <v>1634</v>
      </c>
    </row>
    <row r="169" spans="1:3" x14ac:dyDescent="0.2">
      <c r="A169" s="848" t="s">
        <v>20</v>
      </c>
      <c r="B169" s="674"/>
      <c r="C169" s="77"/>
    </row>
    <row r="170" spans="1:3" x14ac:dyDescent="0.2">
      <c r="A170" s="848" t="s">
        <v>1615</v>
      </c>
      <c r="B170" s="674">
        <v>557</v>
      </c>
      <c r="C170" s="77" t="s">
        <v>1635</v>
      </c>
    </row>
    <row r="171" spans="1:3" x14ac:dyDescent="0.2">
      <c r="A171" s="848" t="s">
        <v>1604</v>
      </c>
      <c r="B171" s="674">
        <v>861</v>
      </c>
      <c r="C171" s="77" t="s">
        <v>1636</v>
      </c>
    </row>
    <row r="172" spans="1:3" x14ac:dyDescent="0.2">
      <c r="A172" s="828" t="s">
        <v>1637</v>
      </c>
      <c r="B172" s="848">
        <v>257</v>
      </c>
      <c r="C172" s="77" t="s">
        <v>1640</v>
      </c>
    </row>
    <row r="173" spans="1:3" x14ac:dyDescent="0.2">
      <c r="A173" s="828" t="s">
        <v>1638</v>
      </c>
      <c r="B173" s="848">
        <v>308</v>
      </c>
      <c r="C173" s="77" t="s">
        <v>1641</v>
      </c>
    </row>
    <row r="174" spans="1:3" x14ac:dyDescent="0.2">
      <c r="A174" s="828" t="s">
        <v>1639</v>
      </c>
      <c r="B174" s="848">
        <v>410</v>
      </c>
      <c r="C174" s="77" t="s">
        <v>1642</v>
      </c>
    </row>
    <row r="175" spans="1:3" x14ac:dyDescent="0.2">
      <c r="A175" s="848" t="s">
        <v>1643</v>
      </c>
      <c r="B175" s="674">
        <v>3.2</v>
      </c>
      <c r="C175" s="77" t="s">
        <v>1644</v>
      </c>
    </row>
    <row r="176" spans="1:3" x14ac:dyDescent="0.2">
      <c r="A176" s="703"/>
      <c r="B176" s="703"/>
      <c r="C176" s="702"/>
    </row>
    <row r="177" spans="1:3" x14ac:dyDescent="0.2">
      <c r="A177" s="875" t="s">
        <v>1674</v>
      </c>
      <c r="B177" s="703">
        <v>1.8E-3</v>
      </c>
      <c r="C177" s="702" t="s">
        <v>1675</v>
      </c>
    </row>
    <row r="178" spans="1:3" x14ac:dyDescent="0.2">
      <c r="A178" s="743" t="s">
        <v>1676</v>
      </c>
      <c r="B178" s="703">
        <v>60</v>
      </c>
      <c r="C178" s="702" t="s">
        <v>1677</v>
      </c>
    </row>
    <row r="179" spans="1:3" x14ac:dyDescent="0.2">
      <c r="A179" s="703"/>
      <c r="B179" s="703"/>
      <c r="C179" s="703"/>
    </row>
    <row r="180" spans="1:3" x14ac:dyDescent="0.2">
      <c r="A180" s="703"/>
      <c r="B180" s="703"/>
      <c r="C180" s="703"/>
    </row>
    <row r="181" spans="1:3" x14ac:dyDescent="0.2">
      <c r="A181" s="703"/>
      <c r="B181" s="703"/>
      <c r="C181" s="703"/>
    </row>
    <row r="182" spans="1:3" x14ac:dyDescent="0.2">
      <c r="A182" s="703"/>
      <c r="B182" s="703"/>
      <c r="C182" s="703"/>
    </row>
  </sheetData>
  <pageMargins left="0.19685039370078741" right="0.19685039370078741" top="0.19685039370078741"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pageSetUpPr fitToPage="1"/>
  </sheetPr>
  <dimension ref="A1:E50"/>
  <sheetViews>
    <sheetView showRowColHeaders="0" showZeros="0" zoomScaleNormal="100" workbookViewId="0">
      <selection activeCell="B4" sqref="B4:E4"/>
    </sheetView>
  </sheetViews>
  <sheetFormatPr defaultColWidth="0" defaultRowHeight="12.75" zeroHeight="1" x14ac:dyDescent="0.2"/>
  <cols>
    <col min="1" max="1" width="33.28515625" customWidth="1"/>
    <col min="2" max="2" width="13.28515625" customWidth="1"/>
    <col min="3" max="3" width="37.85546875" customWidth="1"/>
    <col min="4" max="4" width="9.140625" customWidth="1"/>
    <col min="5" max="5" width="8.85546875" customWidth="1"/>
    <col min="6" max="16384" width="9.140625" hidden="1"/>
  </cols>
  <sheetData>
    <row r="1" spans="1:5" ht="48.75" customHeight="1" x14ac:dyDescent="0.2">
      <c r="A1" s="1039" t="str">
        <f>Variables!Q5</f>
        <v>2019/2020 Fee Estimate - D&amp;A Applications - Valid until 30 June 2020</v>
      </c>
      <c r="B1" s="1040"/>
      <c r="C1" s="1040"/>
      <c r="D1" s="1040"/>
      <c r="E1" s="1041"/>
    </row>
    <row r="2" spans="1:5" ht="4.5" customHeight="1" x14ac:dyDescent="0.2">
      <c r="A2" s="651" t="s">
        <v>1493</v>
      </c>
      <c r="B2" s="40"/>
      <c r="C2" s="10"/>
      <c r="D2" s="10"/>
      <c r="E2" s="112"/>
    </row>
    <row r="3" spans="1:5" ht="18" customHeight="1" x14ac:dyDescent="0.2">
      <c r="A3" s="114" t="s">
        <v>77</v>
      </c>
      <c r="B3" s="1042">
        <f ca="1">TODAY()</f>
        <v>43675</v>
      </c>
      <c r="C3" s="1043"/>
      <c r="D3" s="1043"/>
      <c r="E3" s="1044"/>
    </row>
    <row r="4" spans="1:5" s="648" customFormat="1" ht="18" hidden="1" customHeight="1" x14ac:dyDescent="0.2">
      <c r="A4" s="647" t="s">
        <v>78</v>
      </c>
      <c r="B4" s="1020"/>
      <c r="C4" s="1022"/>
      <c r="D4" s="1022"/>
      <c r="E4" s="1023"/>
    </row>
    <row r="5" spans="1:5" ht="18" customHeight="1" x14ac:dyDescent="0.2">
      <c r="A5" s="115" t="s">
        <v>86</v>
      </c>
      <c r="B5" s="1020"/>
      <c r="C5" s="1021"/>
      <c r="D5" s="1022"/>
      <c r="E5" s="1023"/>
    </row>
    <row r="6" spans="1:5" ht="18" customHeight="1" x14ac:dyDescent="0.2">
      <c r="A6" s="116" t="s">
        <v>66</v>
      </c>
      <c r="B6" s="1045"/>
      <c r="C6" s="1046"/>
      <c r="D6" s="1046"/>
      <c r="E6" s="1047"/>
    </row>
    <row r="7" spans="1:5" ht="18" customHeight="1" x14ac:dyDescent="0.2">
      <c r="A7" s="115" t="s">
        <v>67</v>
      </c>
      <c r="B7" s="1020"/>
      <c r="C7" s="1021"/>
      <c r="D7" s="1022"/>
      <c r="E7" s="1023"/>
    </row>
    <row r="8" spans="1:5" ht="18" customHeight="1" x14ac:dyDescent="0.2">
      <c r="A8" s="115" t="s">
        <v>68</v>
      </c>
      <c r="B8" s="1020"/>
      <c r="C8" s="1021"/>
      <c r="D8" s="1022"/>
      <c r="E8" s="1023"/>
    </row>
    <row r="9" spans="1:5" ht="18" customHeight="1" x14ac:dyDescent="0.2">
      <c r="A9" s="115" t="s">
        <v>69</v>
      </c>
      <c r="B9" s="1020"/>
      <c r="C9" s="1021"/>
      <c r="D9" s="1022"/>
      <c r="E9" s="1023"/>
    </row>
    <row r="10" spans="1:5" ht="18" customHeight="1" x14ac:dyDescent="0.2">
      <c r="A10" s="115" t="s">
        <v>70</v>
      </c>
      <c r="B10" s="1020"/>
      <c r="C10" s="1021"/>
      <c r="D10" s="1022"/>
      <c r="E10" s="1023"/>
    </row>
    <row r="11" spans="1:5" ht="18" customHeight="1" x14ac:dyDescent="0.2">
      <c r="A11" s="115" t="s">
        <v>74</v>
      </c>
      <c r="B11" s="1020"/>
      <c r="C11" s="1021"/>
      <c r="D11" s="1022"/>
      <c r="E11" s="1023"/>
    </row>
    <row r="12" spans="1:5" ht="18" customHeight="1" x14ac:dyDescent="0.2">
      <c r="A12" s="115" t="s">
        <v>71</v>
      </c>
      <c r="B12" s="1024">
        <f>'Fee Calculator'!$C$15</f>
        <v>0</v>
      </c>
      <c r="C12" s="1025"/>
      <c r="D12" s="1025"/>
      <c r="E12" s="1026"/>
    </row>
    <row r="13" spans="1:5" ht="18" customHeight="1" x14ac:dyDescent="0.2">
      <c r="A13" s="117" t="s">
        <v>73</v>
      </c>
      <c r="B13" s="1027">
        <f>'Fee Calculator'!$C$13</f>
        <v>0</v>
      </c>
      <c r="C13" s="1025"/>
      <c r="D13" s="1025"/>
      <c r="E13" s="1026"/>
    </row>
    <row r="14" spans="1:5" ht="18" customHeight="1" x14ac:dyDescent="0.2">
      <c r="A14" s="118" t="s">
        <v>96</v>
      </c>
      <c r="B14" s="1031" t="str">
        <f>'Fee Calculator'!$E$76</f>
        <v/>
      </c>
      <c r="C14" s="1032"/>
      <c r="D14" s="1032"/>
      <c r="E14" s="1033"/>
    </row>
    <row r="15" spans="1:5" ht="18" customHeight="1" x14ac:dyDescent="0.2">
      <c r="A15" s="119" t="s">
        <v>97</v>
      </c>
      <c r="B15" s="752">
        <f>'Fee Calculator'!$C$42</f>
        <v>0</v>
      </c>
      <c r="C15" s="1021"/>
      <c r="D15" s="1034"/>
      <c r="E15" s="1035"/>
    </row>
    <row r="16" spans="1:5" ht="18" customHeight="1" x14ac:dyDescent="0.2">
      <c r="A16" s="119" t="s">
        <v>98</v>
      </c>
      <c r="B16" s="752">
        <f>'Fee Calculator'!$C$40</f>
        <v>0</v>
      </c>
      <c r="C16" s="1021"/>
      <c r="D16" s="1034"/>
      <c r="E16" s="1035"/>
    </row>
    <row r="17" spans="1:5" ht="18" customHeight="1" x14ac:dyDescent="0.2">
      <c r="A17" s="120" t="s">
        <v>99</v>
      </c>
      <c r="B17" s="752">
        <f>'Fee Calculator'!$C$44</f>
        <v>0</v>
      </c>
      <c r="C17" s="1021"/>
      <c r="D17" s="1034"/>
      <c r="E17" s="1035"/>
    </row>
    <row r="18" spans="1:5" ht="18" customHeight="1" thickBot="1" x14ac:dyDescent="0.25">
      <c r="A18" s="121" t="s">
        <v>72</v>
      </c>
      <c r="B18" s="73">
        <f>'Fee Calculator'!$C$46</f>
        <v>0</v>
      </c>
      <c r="C18" s="1036"/>
      <c r="D18" s="1037"/>
      <c r="E18" s="1038"/>
    </row>
    <row r="19" spans="1:5" ht="17.25" thickTop="1" thickBot="1" x14ac:dyDescent="0.25">
      <c r="A19" s="122" t="s">
        <v>91</v>
      </c>
      <c r="B19" s="113" t="s">
        <v>75</v>
      </c>
      <c r="C19" s="1028" t="s">
        <v>76</v>
      </c>
      <c r="D19" s="1029"/>
      <c r="E19" s="1030"/>
    </row>
    <row r="20" spans="1:5" ht="16.5" x14ac:dyDescent="0.3">
      <c r="A20" s="371" t="str">
        <f>'Fee Calculator'!B67</f>
        <v>Development Application Fee</v>
      </c>
      <c r="B20" s="748" t="str">
        <f>'Fee Calculator'!C67</f>
        <v/>
      </c>
      <c r="C20" s="1003">
        <f>'Fee Calculator'!F67</f>
        <v>0</v>
      </c>
      <c r="D20" s="1004"/>
      <c r="E20" s="1005"/>
    </row>
    <row r="21" spans="1:5" ht="16.5" x14ac:dyDescent="0.3">
      <c r="A21" s="371" t="str">
        <f>'Fee Calculator'!B68</f>
        <v>Plan First Fee (Planning NSW)</v>
      </c>
      <c r="B21" s="749" t="str">
        <f>'Fee Calculator'!C68</f>
        <v/>
      </c>
      <c r="C21" s="1003" t="str">
        <f>'Fee Calculator'!F68</f>
        <v/>
      </c>
      <c r="D21" s="1004"/>
      <c r="E21" s="1005"/>
    </row>
    <row r="22" spans="1:5" ht="16.5" x14ac:dyDescent="0.3">
      <c r="A22" s="371" t="str">
        <f>'Fee Calculator'!B69</f>
        <v>Administration Fee*</v>
      </c>
      <c r="B22" s="750" t="str">
        <f>'Fee Calculator'!C69</f>
        <v/>
      </c>
      <c r="C22" s="1016" t="str">
        <f>'Fee Calculator'!F69</f>
        <v/>
      </c>
      <c r="D22" s="1004"/>
      <c r="E22" s="1005"/>
    </row>
    <row r="23" spans="1:5" ht="16.5" x14ac:dyDescent="0.3">
      <c r="A23" s="371" t="str">
        <f>'Fee Calculator'!B70</f>
        <v>Development Compliance Levy</v>
      </c>
      <c r="B23" s="750" t="str">
        <f>'Fee Calculator'!C70</f>
        <v/>
      </c>
      <c r="C23" s="1016" t="str">
        <f>'Fee Calculator'!F70</f>
        <v/>
      </c>
      <c r="D23" s="1004"/>
      <c r="E23" s="1005"/>
    </row>
    <row r="24" spans="1:5" ht="16.5" x14ac:dyDescent="0.3">
      <c r="A24" s="371" t="str">
        <f>'Fee Calculator'!B71</f>
        <v>Rural Addressing Fee*</v>
      </c>
      <c r="B24" s="750" t="str">
        <f>'Fee Calculator'!C71</f>
        <v/>
      </c>
      <c r="C24" s="1016" t="str">
        <f>'Fee Calculator'!F71</f>
        <v/>
      </c>
      <c r="D24" s="1004"/>
      <c r="E24" s="1005"/>
    </row>
    <row r="25" spans="1:5" ht="16.5" x14ac:dyDescent="0.3">
      <c r="A25" s="371" t="str">
        <f>'Fee Calculator'!B72</f>
        <v>Construction Certificate:*</v>
      </c>
      <c r="B25" s="750" t="str">
        <f>'Fee Calculator'!C72</f>
        <v/>
      </c>
      <c r="C25" s="1003">
        <f>'Fee Calculator'!F72</f>
        <v>0</v>
      </c>
      <c r="D25" s="1004"/>
      <c r="E25" s="1005"/>
    </row>
    <row r="26" spans="1:5" ht="40.5" customHeight="1" x14ac:dyDescent="0.3">
      <c r="A26" s="371" t="str">
        <f>'Fee Calculator'!B73</f>
        <v>Complying Development Certificate*</v>
      </c>
      <c r="B26" s="750" t="str">
        <f>'Fee Calculator'!C73</f>
        <v/>
      </c>
      <c r="C26" s="1016" t="str">
        <f>'Fee Calculator'!E73</f>
        <v/>
      </c>
      <c r="D26" s="1004"/>
      <c r="E26" s="1005"/>
    </row>
    <row r="27" spans="1:5" ht="16.5" x14ac:dyDescent="0.3">
      <c r="A27" s="371" t="str">
        <f>'Fee Calculator'!B74</f>
        <v>Subdivision Fee (DA)</v>
      </c>
      <c r="B27" s="750" t="str">
        <f>'Fee Calculator'!C74</f>
        <v/>
      </c>
      <c r="C27" s="1016">
        <f>'Fee Calculator'!F74</f>
        <v>0</v>
      </c>
      <c r="D27" s="1004"/>
      <c r="E27" s="1005"/>
    </row>
    <row r="28" spans="1:5" ht="16.5" x14ac:dyDescent="0.3">
      <c r="A28" s="371" t="str">
        <f>'Fee Calculator'!B75</f>
        <v>Strata Inspection Fee*</v>
      </c>
      <c r="B28" s="750" t="str">
        <f>'Fee Calculator'!C75</f>
        <v/>
      </c>
      <c r="C28" s="1016">
        <f>'Fee Calculator'!F75</f>
        <v>0</v>
      </c>
      <c r="D28" s="1004"/>
      <c r="E28" s="1005"/>
    </row>
    <row r="29" spans="1:5" ht="39.75" customHeight="1" x14ac:dyDescent="0.3">
      <c r="A29" s="371" t="str">
        <f>'Fee Calculator'!B76</f>
        <v>Inspection Fees</v>
      </c>
      <c r="B29" s="750" t="str">
        <f>'Fee Calculator'!C76</f>
        <v/>
      </c>
      <c r="C29" s="1017" t="str">
        <f>'Fee Calculator'!E76</f>
        <v/>
      </c>
      <c r="D29" s="1018"/>
      <c r="E29" s="1019"/>
    </row>
    <row r="30" spans="1:5" ht="16.5" x14ac:dyDescent="0.3">
      <c r="A30" s="371" t="str">
        <f>'Fee Calculator'!B77</f>
        <v xml:space="preserve">Occupation Certificate </v>
      </c>
      <c r="B30" s="750" t="str">
        <f>'Fee Calculator'!C77</f>
        <v/>
      </c>
      <c r="C30" s="1016" t="str">
        <f>'Fee Calculator'!F77</f>
        <v/>
      </c>
      <c r="D30" s="1004"/>
      <c r="E30" s="1005"/>
    </row>
    <row r="31" spans="1:5" ht="16.5" x14ac:dyDescent="0.3">
      <c r="A31" s="371" t="str">
        <f>'Fee Calculator'!B78</f>
        <v>Long Service Levy</v>
      </c>
      <c r="B31" s="750" t="str">
        <f>'Fee Calculator'!C78</f>
        <v/>
      </c>
      <c r="C31" s="1003" t="str">
        <f>'Fee Calculator'!F78</f>
        <v/>
      </c>
      <c r="D31" s="1004"/>
      <c r="E31" s="1005"/>
    </row>
    <row r="32" spans="1:5" ht="16.5" x14ac:dyDescent="0.3">
      <c r="A32" s="371" t="str">
        <f>'Fee Calculator'!B79</f>
        <v>Integrated Development Fee</v>
      </c>
      <c r="B32" s="750" t="str">
        <f>'Fee Calculator'!C79</f>
        <v/>
      </c>
      <c r="C32" s="1003" t="str">
        <f>'Fee Calculator'!E79</f>
        <v/>
      </c>
      <c r="D32" s="1004"/>
      <c r="E32" s="1005"/>
    </row>
    <row r="33" spans="1:5" ht="16.5" x14ac:dyDescent="0.3">
      <c r="A33" s="371" t="str">
        <f>'Fee Calculator'!B80</f>
        <v>Designated Development Additional Fee</v>
      </c>
      <c r="B33" s="750" t="str">
        <f>'Fee Calculator'!C80</f>
        <v/>
      </c>
      <c r="C33" s="1003"/>
      <c r="D33" s="1004"/>
      <c r="E33" s="1005"/>
    </row>
    <row r="34" spans="1:5" ht="16.5" x14ac:dyDescent="0.3">
      <c r="A34" s="371" t="str">
        <f>'Fee Calculator'!B81</f>
        <v>Advertising Fee</v>
      </c>
      <c r="B34" s="750" t="str">
        <f>'Fee Calculator'!C81</f>
        <v/>
      </c>
      <c r="C34" s="1003"/>
      <c r="D34" s="1004"/>
      <c r="E34" s="1005"/>
    </row>
    <row r="35" spans="1:5" ht="16.5" x14ac:dyDescent="0.3">
      <c r="A35" s="371" t="str">
        <f>'Fee Calculator'!B82</f>
        <v>Notification Fee</v>
      </c>
      <c r="B35" s="750" t="str">
        <f>'Fee Calculator'!C82</f>
        <v/>
      </c>
      <c r="C35" s="1003"/>
      <c r="D35" s="1004"/>
      <c r="E35" s="1005"/>
    </row>
    <row r="36" spans="1:5" ht="16.5" x14ac:dyDescent="0.3">
      <c r="A36" s="371" t="str">
        <f>'Fee Calculator'!B83</f>
        <v>Section 68 Permits</v>
      </c>
      <c r="B36" s="750" t="str">
        <f>'Fee Calculator'!C83</f>
        <v/>
      </c>
      <c r="C36" s="1003">
        <f>'Fee Calculator'!F83</f>
        <v>0</v>
      </c>
      <c r="D36" s="1004"/>
      <c r="E36" s="1005"/>
    </row>
    <row r="37" spans="1:5" ht="16.5" x14ac:dyDescent="0.3">
      <c r="A37" s="371" t="str">
        <f>'Fee Calculator'!B84</f>
        <v>Bushfire Assessment Fee</v>
      </c>
      <c r="B37" s="751" t="str">
        <f>'Fee Calculator'!C84</f>
        <v/>
      </c>
      <c r="C37" s="1003">
        <f>'Fee Calculator'!F84</f>
        <v>0</v>
      </c>
      <c r="D37" s="1004"/>
      <c r="E37" s="1005"/>
    </row>
    <row r="38" spans="1:5" ht="16.5" x14ac:dyDescent="0.3">
      <c r="A38" s="371" t="str">
        <f>'Fee Calculator'!B85</f>
        <v>Section 138 Road Act Permit</v>
      </c>
      <c r="B38" s="751" t="str">
        <f>'Fee Calculator'!C85</f>
        <v/>
      </c>
      <c r="C38" s="1003">
        <f>'Fee Calculator'!F85</f>
        <v>0</v>
      </c>
      <c r="D38" s="1004"/>
      <c r="E38" s="1005"/>
    </row>
    <row r="39" spans="1:5" ht="16.5" x14ac:dyDescent="0.2">
      <c r="A39" s="372" t="str">
        <f>'Fee Calculator'!B86</f>
        <v>Scanning Fee</v>
      </c>
      <c r="B39" s="750" t="str">
        <f>'Fee Calculator'!C86</f>
        <v/>
      </c>
      <c r="C39" s="1006"/>
      <c r="D39" s="1007"/>
      <c r="E39" s="1008"/>
    </row>
    <row r="40" spans="1:5" ht="16.5" x14ac:dyDescent="0.2">
      <c r="A40" s="373" t="s">
        <v>85</v>
      </c>
      <c r="B40" s="374">
        <f>SUM(B20:B39)</f>
        <v>0</v>
      </c>
      <c r="C40" s="1009"/>
      <c r="D40" s="1010"/>
      <c r="E40" s="1011"/>
    </row>
    <row r="41" spans="1:5" x14ac:dyDescent="0.2">
      <c r="A41" s="375"/>
      <c r="B41" s="1012" t="str">
        <f>IF('Fee Calculator'!C56="Yes",'Fee Calculator'!$E$81,"")</f>
        <v/>
      </c>
      <c r="C41" s="1013"/>
      <c r="D41" s="1013"/>
      <c r="E41" s="1014"/>
    </row>
    <row r="42" spans="1:5" x14ac:dyDescent="0.2">
      <c r="A42" s="123" t="str">
        <f>IF('Fee Calculator'!C56="Yes","Bushfire Affected Land)","")</f>
        <v/>
      </c>
      <c r="B42" s="1015"/>
      <c r="C42" s="1013"/>
      <c r="D42" s="1013"/>
      <c r="E42" s="1014"/>
    </row>
    <row r="43" spans="1:5" x14ac:dyDescent="0.2">
      <c r="A43" s="124"/>
      <c r="B43" s="1015"/>
      <c r="C43" s="1013"/>
      <c r="D43" s="1013"/>
      <c r="E43" s="1014"/>
    </row>
    <row r="44" spans="1:5" x14ac:dyDescent="0.2">
      <c r="A44" s="125"/>
      <c r="B44" s="1015"/>
      <c r="C44" s="1013"/>
      <c r="D44" s="1013"/>
      <c r="E44" s="1014"/>
    </row>
    <row r="45" spans="1:5" x14ac:dyDescent="0.2">
      <c r="A45" s="123"/>
      <c r="B45" s="1015"/>
      <c r="C45" s="1013"/>
      <c r="D45" s="1013"/>
      <c r="E45" s="1014"/>
    </row>
    <row r="46" spans="1:5" x14ac:dyDescent="0.2">
      <c r="A46" s="126"/>
      <c r="B46" s="1015"/>
      <c r="C46" s="1013"/>
      <c r="D46" s="1013"/>
      <c r="E46" s="1014"/>
    </row>
    <row r="47" spans="1:5" ht="42" customHeight="1" x14ac:dyDescent="0.2">
      <c r="A47" s="995" t="s">
        <v>1668</v>
      </c>
      <c r="B47" s="996"/>
      <c r="C47" s="996"/>
      <c r="D47" s="996"/>
      <c r="E47" s="997"/>
    </row>
    <row r="48" spans="1:5" ht="14.25" hidden="1" customHeight="1" x14ac:dyDescent="0.2">
      <c r="A48" s="376"/>
      <c r="B48" s="377"/>
      <c r="C48" s="998"/>
      <c r="D48" s="998"/>
      <c r="E48" s="999"/>
    </row>
    <row r="49" spans="1:5" hidden="1" x14ac:dyDescent="0.2">
      <c r="A49" s="1000"/>
      <c r="B49" s="1001"/>
      <c r="C49" s="1001"/>
      <c r="D49" s="1001"/>
      <c r="E49" s="1002"/>
    </row>
    <row r="50" spans="1:5" hidden="1" x14ac:dyDescent="0.2"/>
  </sheetData>
  <sheetProtection password="CA6B" sheet="1" objects="1" scenarios="1" selectLockedCells="1"/>
  <mergeCells count="43">
    <mergeCell ref="B7:E7"/>
    <mergeCell ref="A1:E1"/>
    <mergeCell ref="B3:E3"/>
    <mergeCell ref="B4:E4"/>
    <mergeCell ref="B5:E5"/>
    <mergeCell ref="B6:E6"/>
    <mergeCell ref="C23:E23"/>
    <mergeCell ref="B8:E8"/>
    <mergeCell ref="B9:E9"/>
    <mergeCell ref="B10:E10"/>
    <mergeCell ref="B11:E11"/>
    <mergeCell ref="B12:E12"/>
    <mergeCell ref="B13:E13"/>
    <mergeCell ref="C19:E19"/>
    <mergeCell ref="C20:E20"/>
    <mergeCell ref="C21:E21"/>
    <mergeCell ref="C22:E22"/>
    <mergeCell ref="B14:E14"/>
    <mergeCell ref="C15:E15"/>
    <mergeCell ref="C16:E16"/>
    <mergeCell ref="C17:E17"/>
    <mergeCell ref="C18:E18"/>
    <mergeCell ref="C35:E35"/>
    <mergeCell ref="C24:E24"/>
    <mergeCell ref="C25:E25"/>
    <mergeCell ref="C26:E26"/>
    <mergeCell ref="C27:E27"/>
    <mergeCell ref="C28:E28"/>
    <mergeCell ref="C29:E29"/>
    <mergeCell ref="C30:E30"/>
    <mergeCell ref="C31:E31"/>
    <mergeCell ref="C32:E32"/>
    <mergeCell ref="C33:E33"/>
    <mergeCell ref="C34:E34"/>
    <mergeCell ref="A47:E47"/>
    <mergeCell ref="C48:E48"/>
    <mergeCell ref="A49:E49"/>
    <mergeCell ref="C36:E36"/>
    <mergeCell ref="C37:E37"/>
    <mergeCell ref="C38:E38"/>
    <mergeCell ref="C39:E39"/>
    <mergeCell ref="C40:E40"/>
    <mergeCell ref="B41:E46"/>
  </mergeCells>
  <conditionalFormatting sqref="A43 D20:E28 D30:E37 C20:C37 B11:E11 C38:E38 B12:B18">
    <cfRule type="expression" dxfId="149" priority="3">
      <formula>A11=0</formula>
    </cfRule>
  </conditionalFormatting>
  <dataValidations count="1">
    <dataValidation type="list" allowBlank="1" showInputMessage="1" showErrorMessage="1" sqref="B4:E4">
      <formula1>Officer</formula1>
    </dataValidation>
  </dataValidations>
  <printOptions horizontalCentered="1"/>
  <pageMargins left="0" right="0" top="0" bottom="0" header="0.31496062992125984" footer="0.31496062992125984"/>
  <pageSetup paperSize="9" scale="98" orientation="portrait" r:id="rId1"/>
  <ignoredErrors>
    <ignoredError sqref="B20:B39 C20:E28 B3:E3 A20:A22 B16:C16 C39:E39 C37:E37 A29:A35 B18:C18 C17 B5:E10 B12:E12 C11:E11 C29:E36 C38 B15:C15 C13:E13 B14 A24:A27 A37" unlockedFormula="1"/>
  </ignoredErrors>
  <drawing r:id="rId2"/>
  <legacyDrawing r:id="rId3"/>
  <controls>
    <mc:AlternateContent xmlns:mc="http://schemas.openxmlformats.org/markup-compatibility/2006">
      <mc:Choice Requires="x14">
        <control shapeId="14338" r:id="rId4" name="CommandButton1">
          <controlPr locked="0" defaultSize="0" print="0" autoLine="0" r:id="rId5">
            <anchor moveWithCells="1" sizeWithCells="1">
              <from>
                <xdr:col>2</xdr:col>
                <xdr:colOff>2219325</xdr:colOff>
                <xdr:row>0</xdr:row>
                <xdr:rowOff>295275</xdr:rowOff>
              </from>
              <to>
                <xdr:col>4</xdr:col>
                <xdr:colOff>285750</xdr:colOff>
                <xdr:row>0</xdr:row>
                <xdr:rowOff>590550</xdr:rowOff>
              </to>
            </anchor>
          </controlPr>
        </control>
      </mc:Choice>
      <mc:Fallback>
        <control shapeId="14338" r:id="rId4" name="Command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39997558519241921"/>
    <pageSetUpPr fitToPage="1"/>
  </sheetPr>
  <dimension ref="A1:AC115"/>
  <sheetViews>
    <sheetView showRowColHeaders="0" showZeros="0" zoomScale="115" zoomScaleNormal="115" workbookViewId="0">
      <selection activeCell="D8" sqref="D8"/>
    </sheetView>
  </sheetViews>
  <sheetFormatPr defaultColWidth="0" defaultRowHeight="12.75" zeroHeight="1" x14ac:dyDescent="0.2"/>
  <cols>
    <col min="1" max="1" width="1.85546875" style="140" customWidth="1"/>
    <col min="2" max="2" width="2.28515625" style="140" customWidth="1"/>
    <col min="3" max="3" width="23.7109375" style="141" customWidth="1"/>
    <col min="4" max="4" width="46.7109375" style="141" customWidth="1"/>
    <col min="5" max="5" width="8.140625" style="141" customWidth="1"/>
    <col min="6" max="6" width="20" style="143" hidden="1" customWidth="1"/>
    <col min="7" max="7" width="7.42578125" style="140" hidden="1" customWidth="1"/>
    <col min="8" max="8" width="2" style="142" customWidth="1"/>
    <col min="9" max="9" width="1.5703125" style="140" customWidth="1"/>
    <col min="10" max="10" width="9" style="140" hidden="1" customWidth="1"/>
    <col min="11" max="11" width="9" style="141" hidden="1" customWidth="1"/>
    <col min="12" max="13" width="9" style="140" hidden="1" customWidth="1"/>
    <col min="14" max="14" width="41.42578125" style="140" hidden="1" customWidth="1"/>
    <col min="15" max="15" width="39.7109375" style="140" hidden="1" customWidth="1"/>
    <col min="16" max="16" width="50.42578125" style="141" hidden="1" customWidth="1"/>
    <col min="17" max="17" width="48.140625" style="140" hidden="1" customWidth="1"/>
    <col min="18" max="18" width="27.7109375" style="141" hidden="1" customWidth="1"/>
    <col min="19" max="19" width="65.140625" style="141" hidden="1" customWidth="1"/>
    <col min="20" max="20" width="30.85546875" style="140" hidden="1" customWidth="1"/>
    <col min="21" max="21" width="22.140625" style="141" hidden="1" customWidth="1"/>
    <col min="22" max="22" width="46.28515625" style="141" hidden="1" customWidth="1"/>
    <col min="23" max="23" width="30.85546875" style="141" hidden="1" customWidth="1"/>
    <col min="24" max="24" width="38" style="141" hidden="1" customWidth="1"/>
    <col min="25" max="25" width="29.7109375" style="141" hidden="1" customWidth="1"/>
    <col min="26" max="26" width="33.85546875" style="141" hidden="1" customWidth="1"/>
    <col min="27" max="27" width="14.7109375" style="140" hidden="1" customWidth="1"/>
    <col min="28" max="28" width="20.28515625" style="140" hidden="1" customWidth="1"/>
    <col min="29" max="16384" width="9" style="140" hidden="1"/>
  </cols>
  <sheetData>
    <row r="1" spans="1:15" ht="31.5" customHeight="1" x14ac:dyDescent="0.2">
      <c r="A1" s="652" t="s">
        <v>1494</v>
      </c>
      <c r="B1" s="189"/>
      <c r="C1" s="1049" t="s">
        <v>1312</v>
      </c>
      <c r="D1" s="954"/>
      <c r="E1" s="954"/>
      <c r="F1" s="1050"/>
      <c r="G1" s="1051"/>
      <c r="H1" s="157"/>
      <c r="I1" s="157"/>
      <c r="J1" s="156"/>
      <c r="M1" s="140" t="s">
        <v>473</v>
      </c>
      <c r="N1" s="140" t="s">
        <v>477</v>
      </c>
    </row>
    <row r="2" spans="1:15" x14ac:dyDescent="0.2">
      <c r="A2" s="157"/>
      <c r="B2" s="159"/>
      <c r="C2" s="160"/>
      <c r="D2" s="160"/>
      <c r="E2" s="160"/>
      <c r="F2" s="188" t="s">
        <v>494</v>
      </c>
      <c r="G2" s="187"/>
      <c r="H2" s="159"/>
      <c r="I2" s="157"/>
      <c r="J2" s="156"/>
      <c r="M2" s="140" t="s">
        <v>22</v>
      </c>
      <c r="N2" s="140" t="s">
        <v>493</v>
      </c>
      <c r="O2" s="140">
        <f>IF(D8="Development Application",1,0)</f>
        <v>0</v>
      </c>
    </row>
    <row r="3" spans="1:15" x14ac:dyDescent="0.2">
      <c r="A3" s="157"/>
      <c r="B3" s="159"/>
      <c r="C3" s="174" t="s">
        <v>492</v>
      </c>
      <c r="D3" s="170" t="s">
        <v>491</v>
      </c>
      <c r="E3" s="182" t="s">
        <v>473</v>
      </c>
      <c r="F3" s="161"/>
      <c r="G3" s="182" t="s">
        <v>473</v>
      </c>
      <c r="H3" s="159"/>
      <c r="I3" s="157"/>
      <c r="J3" s="156"/>
      <c r="M3" s="140" t="s">
        <v>23</v>
      </c>
      <c r="N3" s="140" t="s">
        <v>490</v>
      </c>
      <c r="O3" s="140">
        <f>IF(D8="Construction Certificate",1,0)</f>
        <v>0</v>
      </c>
    </row>
    <row r="4" spans="1:15" ht="51" x14ac:dyDescent="0.2">
      <c r="A4" s="157"/>
      <c r="B4" s="159"/>
      <c r="C4" s="174" t="s">
        <v>489</v>
      </c>
      <c r="D4" s="170" t="s">
        <v>488</v>
      </c>
      <c r="E4" s="182" t="s">
        <v>473</v>
      </c>
      <c r="F4" s="186" t="s">
        <v>487</v>
      </c>
      <c r="G4" s="182" t="s">
        <v>473</v>
      </c>
      <c r="H4" s="159"/>
      <c r="I4" s="157"/>
      <c r="J4" s="156"/>
      <c r="M4" s="140" t="s">
        <v>55</v>
      </c>
      <c r="N4" s="140" t="s">
        <v>486</v>
      </c>
      <c r="O4" s="140">
        <f>IF(D8="Complying Development Certificate",1,0)</f>
        <v>0</v>
      </c>
    </row>
    <row r="5" spans="1:15" ht="25.5" customHeight="1" x14ac:dyDescent="0.2">
      <c r="A5" s="157"/>
      <c r="B5" s="159"/>
      <c r="C5" s="174" t="s">
        <v>485</v>
      </c>
      <c r="D5" s="170" t="s">
        <v>484</v>
      </c>
      <c r="E5" s="182" t="s">
        <v>473</v>
      </c>
      <c r="F5" s="185"/>
      <c r="G5" s="182" t="s">
        <v>473</v>
      </c>
      <c r="H5" s="159"/>
      <c r="I5" s="157"/>
      <c r="J5" s="156"/>
      <c r="N5" s="140" t="s">
        <v>483</v>
      </c>
      <c r="O5" s="140">
        <f>IF(D8="Combined Development/Construction Certificate",1,0)</f>
        <v>0</v>
      </c>
    </row>
    <row r="6" spans="1:15" ht="17.25" customHeight="1" x14ac:dyDescent="0.2">
      <c r="A6" s="157"/>
      <c r="B6" s="159"/>
      <c r="C6" s="174" t="s">
        <v>482</v>
      </c>
      <c r="D6" s="170" t="s">
        <v>481</v>
      </c>
      <c r="E6" s="182" t="s">
        <v>473</v>
      </c>
      <c r="F6" s="161"/>
      <c r="G6" s="182" t="s">
        <v>473</v>
      </c>
      <c r="H6" s="159"/>
      <c r="I6" s="157"/>
      <c r="J6" s="156"/>
      <c r="N6" s="175" t="s">
        <v>480</v>
      </c>
    </row>
    <row r="7" spans="1:15" ht="7.5" customHeight="1" x14ac:dyDescent="0.2">
      <c r="A7" s="157"/>
      <c r="B7" s="159"/>
      <c r="C7" s="161"/>
      <c r="D7" s="161"/>
      <c r="E7" s="183"/>
      <c r="F7" s="184"/>
      <c r="G7" s="183"/>
      <c r="H7" s="159"/>
      <c r="I7" s="157"/>
      <c r="J7" s="156"/>
      <c r="N7" s="175" t="s">
        <v>479</v>
      </c>
    </row>
    <row r="8" spans="1:15" ht="18.75" customHeight="1" x14ac:dyDescent="0.2">
      <c r="A8" s="157"/>
      <c r="B8" s="159"/>
      <c r="C8" s="170" t="s">
        <v>478</v>
      </c>
      <c r="D8" s="182" t="s">
        <v>477</v>
      </c>
      <c r="E8" s="181"/>
      <c r="F8" s="180"/>
      <c r="G8" s="180"/>
      <c r="H8" s="159"/>
      <c r="I8" s="157"/>
      <c r="J8" s="156"/>
      <c r="N8" s="175" t="s">
        <v>476</v>
      </c>
    </row>
    <row r="9" spans="1:15" ht="15.75" hidden="1" customHeight="1" x14ac:dyDescent="0.2">
      <c r="A9" s="157"/>
      <c r="B9" s="159"/>
      <c r="C9" s="179" t="str">
        <f t="array" ref="C9:D23">IF(D8=N2,O99:P115,IF(D8=N3,R99:S115, IF(D8=N4,U99:V115,IF(D8=N5,X99:Y115,""))))</f>
        <v/>
      </c>
      <c r="D9" s="177" t="str">
        <v/>
      </c>
      <c r="E9" s="178" t="s">
        <v>475</v>
      </c>
      <c r="F9" s="177" t="str">
        <f t="array" ref="F9:F23">IF(D8=N2,Q99:Q115,IF(D8=N3,T99:T115, IF(D8=N4,W99:W115,IF(D8=N5,Z99:Z115,""))))</f>
        <v/>
      </c>
      <c r="G9" s="176" t="s">
        <v>475</v>
      </c>
      <c r="H9" s="159"/>
      <c r="I9" s="157"/>
      <c r="J9" s="156"/>
      <c r="N9" s="175"/>
      <c r="O9" s="140">
        <f>SUM(O2:O8)</f>
        <v>0</v>
      </c>
    </row>
    <row r="10" spans="1:15" ht="118.5" hidden="1" customHeight="1" x14ac:dyDescent="0.2">
      <c r="A10" s="157"/>
      <c r="B10" s="159"/>
      <c r="C10" s="174" t="str">
        <v/>
      </c>
      <c r="D10" s="165" t="str">
        <v/>
      </c>
      <c r="E10" s="162" t="s">
        <v>473</v>
      </c>
      <c r="F10" s="163" t="str">
        <v/>
      </c>
      <c r="G10" s="162" t="s">
        <v>473</v>
      </c>
      <c r="H10" s="159"/>
      <c r="I10" s="157"/>
      <c r="J10" s="156"/>
    </row>
    <row r="11" spans="1:15" ht="87" hidden="1" customHeight="1" x14ac:dyDescent="0.2">
      <c r="A11" s="157"/>
      <c r="B11" s="159"/>
      <c r="C11" s="174" t="str">
        <v/>
      </c>
      <c r="D11" s="165" t="str">
        <v/>
      </c>
      <c r="E11" s="162" t="s">
        <v>473</v>
      </c>
      <c r="F11" s="163" t="str">
        <v/>
      </c>
      <c r="G11" s="162" t="s">
        <v>473</v>
      </c>
      <c r="H11" s="159"/>
      <c r="I11" s="157"/>
      <c r="J11" s="156"/>
    </row>
    <row r="12" spans="1:15" ht="68.25" hidden="1" customHeight="1" x14ac:dyDescent="0.2">
      <c r="A12" s="157"/>
      <c r="B12" s="159"/>
      <c r="C12" s="174" t="str">
        <v/>
      </c>
      <c r="D12" s="165" t="str">
        <v/>
      </c>
      <c r="E12" s="162" t="s">
        <v>473</v>
      </c>
      <c r="F12" s="163" t="str">
        <v/>
      </c>
      <c r="G12" s="162" t="s">
        <v>473</v>
      </c>
      <c r="H12" s="159"/>
      <c r="I12" s="157"/>
      <c r="J12" s="156"/>
    </row>
    <row r="13" spans="1:15" ht="43.5" hidden="1" customHeight="1" x14ac:dyDescent="0.2">
      <c r="A13" s="157"/>
      <c r="B13" s="159"/>
      <c r="C13" s="174" t="str">
        <v/>
      </c>
      <c r="D13" s="165" t="str">
        <v/>
      </c>
      <c r="E13" s="162" t="s">
        <v>473</v>
      </c>
      <c r="F13" s="163" t="str">
        <v/>
      </c>
      <c r="G13" s="162" t="s">
        <v>473</v>
      </c>
      <c r="H13" s="159"/>
      <c r="I13" s="157"/>
      <c r="J13" s="156"/>
    </row>
    <row r="14" spans="1:15" ht="57" hidden="1" customHeight="1" x14ac:dyDescent="0.2">
      <c r="A14" s="157"/>
      <c r="B14" s="159"/>
      <c r="C14" s="174" t="str">
        <v/>
      </c>
      <c r="D14" s="165" t="str">
        <v/>
      </c>
      <c r="E14" s="162" t="s">
        <v>473</v>
      </c>
      <c r="F14" s="163" t="str">
        <v/>
      </c>
      <c r="G14" s="162" t="s">
        <v>473</v>
      </c>
      <c r="H14" s="159"/>
      <c r="I14" s="157"/>
      <c r="J14" s="156"/>
    </row>
    <row r="15" spans="1:15" ht="70.5" hidden="1" customHeight="1" x14ac:dyDescent="0.2">
      <c r="A15" s="157"/>
      <c r="B15" s="159"/>
      <c r="C15" s="174" t="str">
        <v/>
      </c>
      <c r="D15" s="165" t="str">
        <v/>
      </c>
      <c r="E15" s="162" t="s">
        <v>473</v>
      </c>
      <c r="F15" s="163" t="str">
        <v/>
      </c>
      <c r="G15" s="162" t="s">
        <v>473</v>
      </c>
      <c r="H15" s="159"/>
      <c r="I15" s="157"/>
      <c r="J15" s="156"/>
    </row>
    <row r="16" spans="1:15" ht="55.5" hidden="1" customHeight="1" x14ac:dyDescent="0.2">
      <c r="A16" s="157"/>
      <c r="B16" s="159"/>
      <c r="C16" s="174" t="str">
        <v/>
      </c>
      <c r="D16" s="165" t="str">
        <v/>
      </c>
      <c r="E16" s="162" t="s">
        <v>473</v>
      </c>
      <c r="F16" s="163" t="str">
        <v/>
      </c>
      <c r="G16" s="162" t="s">
        <v>473</v>
      </c>
      <c r="H16" s="159"/>
      <c r="I16" s="157"/>
      <c r="J16" s="156"/>
    </row>
    <row r="17" spans="1:10" ht="39" hidden="1" customHeight="1" x14ac:dyDescent="0.2">
      <c r="A17" s="157"/>
      <c r="B17" s="159"/>
      <c r="C17" s="174" t="str">
        <v/>
      </c>
      <c r="D17" s="165" t="str">
        <v/>
      </c>
      <c r="E17" s="162" t="s">
        <v>473</v>
      </c>
      <c r="F17" s="163" t="str">
        <v/>
      </c>
      <c r="G17" s="162" t="s">
        <v>473</v>
      </c>
      <c r="H17" s="159"/>
      <c r="I17" s="157"/>
      <c r="J17" s="156"/>
    </row>
    <row r="18" spans="1:10" ht="36" hidden="1" customHeight="1" x14ac:dyDescent="0.2">
      <c r="A18" s="157"/>
      <c r="B18" s="159"/>
      <c r="C18" s="174" t="str">
        <v/>
      </c>
      <c r="D18" s="165" t="str">
        <v/>
      </c>
      <c r="E18" s="162" t="s">
        <v>473</v>
      </c>
      <c r="F18" s="163" t="str">
        <v/>
      </c>
      <c r="G18" s="162" t="s">
        <v>473</v>
      </c>
      <c r="H18" s="159"/>
      <c r="I18" s="157"/>
      <c r="J18" s="156"/>
    </row>
    <row r="19" spans="1:10" ht="55.5" hidden="1" customHeight="1" x14ac:dyDescent="0.2">
      <c r="A19" s="157"/>
      <c r="B19" s="159"/>
      <c r="C19" s="174" t="str">
        <v/>
      </c>
      <c r="D19" s="165" t="str">
        <v/>
      </c>
      <c r="E19" s="162" t="s">
        <v>473</v>
      </c>
      <c r="F19" s="163" t="str">
        <v/>
      </c>
      <c r="G19" s="162" t="s">
        <v>473</v>
      </c>
      <c r="H19" s="159"/>
      <c r="I19" s="157"/>
      <c r="J19" s="156"/>
    </row>
    <row r="20" spans="1:10" ht="41.25" hidden="1" customHeight="1" x14ac:dyDescent="0.2">
      <c r="A20" s="157"/>
      <c r="B20" s="159"/>
      <c r="C20" s="174" t="str">
        <v/>
      </c>
      <c r="D20" s="165" t="str">
        <v/>
      </c>
      <c r="E20" s="162" t="s">
        <v>473</v>
      </c>
      <c r="F20" s="163" t="str">
        <v/>
      </c>
      <c r="G20" s="162" t="s">
        <v>473</v>
      </c>
      <c r="H20" s="159"/>
      <c r="I20" s="157"/>
      <c r="J20" s="156"/>
    </row>
    <row r="21" spans="1:10" ht="32.25" hidden="1" customHeight="1" x14ac:dyDescent="0.2">
      <c r="A21" s="157"/>
      <c r="B21" s="159"/>
      <c r="C21" s="174" t="str">
        <v/>
      </c>
      <c r="D21" s="165" t="str">
        <v/>
      </c>
      <c r="E21" s="162" t="s">
        <v>473</v>
      </c>
      <c r="F21" s="163" t="str">
        <v/>
      </c>
      <c r="G21" s="162" t="s">
        <v>473</v>
      </c>
      <c r="H21" s="159"/>
      <c r="I21" s="157"/>
      <c r="J21" s="156"/>
    </row>
    <row r="22" spans="1:10" ht="34.5" hidden="1" customHeight="1" x14ac:dyDescent="0.2">
      <c r="A22" s="157"/>
      <c r="B22" s="159"/>
      <c r="C22" s="174" t="str">
        <v/>
      </c>
      <c r="D22" s="165" t="str">
        <v/>
      </c>
      <c r="E22" s="162" t="s">
        <v>473</v>
      </c>
      <c r="F22" s="163" t="str">
        <v/>
      </c>
      <c r="G22" s="162" t="s">
        <v>473</v>
      </c>
      <c r="H22" s="159"/>
      <c r="I22" s="157"/>
      <c r="J22" s="156"/>
    </row>
    <row r="23" spans="1:10" ht="44.25" hidden="1" customHeight="1" x14ac:dyDescent="0.2">
      <c r="A23" s="157"/>
      <c r="B23" s="159"/>
      <c r="C23" s="173" t="str">
        <v/>
      </c>
      <c r="D23" s="172" t="str">
        <v/>
      </c>
      <c r="E23" s="162" t="s">
        <v>473</v>
      </c>
      <c r="F23" s="171" t="str">
        <v/>
      </c>
      <c r="G23" s="162" t="s">
        <v>473</v>
      </c>
      <c r="H23" s="159"/>
      <c r="I23" s="157"/>
      <c r="J23" s="156"/>
    </row>
    <row r="24" spans="1:10" ht="83.25" customHeight="1" x14ac:dyDescent="0.2">
      <c r="A24" s="157"/>
      <c r="B24" s="159"/>
      <c r="C24" s="1048"/>
      <c r="D24" s="1048"/>
      <c r="E24" s="1048"/>
      <c r="F24" s="1048"/>
      <c r="G24" s="1048"/>
      <c r="H24" s="159"/>
      <c r="I24" s="157"/>
      <c r="J24" s="156"/>
    </row>
    <row r="25" spans="1:10" ht="15" customHeight="1" x14ac:dyDescent="0.2">
      <c r="A25" s="157"/>
      <c r="B25" s="159"/>
      <c r="C25" s="170" t="s">
        <v>474</v>
      </c>
      <c r="D25" s="169" t="s">
        <v>473</v>
      </c>
      <c r="E25" s="168"/>
      <c r="F25" s="161"/>
      <c r="G25" s="161"/>
      <c r="H25" s="159"/>
      <c r="I25" s="157"/>
      <c r="J25" s="156"/>
    </row>
    <row r="26" spans="1:10" ht="13.5" hidden="1" customHeight="1" x14ac:dyDescent="0.2">
      <c r="A26" s="157"/>
      <c r="B26" s="159"/>
      <c r="C26" s="167" t="str">
        <f t="array" ref="C26:D31">IF(D25="Yes",AA99:AB106,"")</f>
        <v/>
      </c>
      <c r="D26" s="167" t="str">
        <v/>
      </c>
      <c r="E26" s="167"/>
      <c r="F26" s="167" t="str">
        <f>IF(OR(D25="Select",D25="No",D25="N/A"),"","Office Use Only")</f>
        <v/>
      </c>
      <c r="G26" s="167"/>
      <c r="H26" s="159"/>
      <c r="I26" s="157"/>
      <c r="J26" s="156"/>
    </row>
    <row r="27" spans="1:10" ht="13.5" hidden="1" customHeight="1" x14ac:dyDescent="0.2">
      <c r="A27" s="157"/>
      <c r="B27" s="159"/>
      <c r="C27" s="165" t="str">
        <v/>
      </c>
      <c r="D27" s="166" t="str">
        <v/>
      </c>
      <c r="E27" s="162" t="s">
        <v>473</v>
      </c>
      <c r="F27" s="163"/>
      <c r="G27" s="162" t="s">
        <v>473</v>
      </c>
      <c r="H27" s="159"/>
      <c r="I27" s="157"/>
      <c r="J27" s="156"/>
    </row>
    <row r="28" spans="1:10" hidden="1" x14ac:dyDescent="0.2">
      <c r="A28" s="157"/>
      <c r="B28" s="159"/>
      <c r="C28" s="165" t="str">
        <v/>
      </c>
      <c r="D28" s="166" t="str">
        <v/>
      </c>
      <c r="E28" s="162" t="s">
        <v>473</v>
      </c>
      <c r="F28" s="163"/>
      <c r="G28" s="162" t="s">
        <v>473</v>
      </c>
      <c r="H28" s="159"/>
      <c r="I28" s="157"/>
      <c r="J28" s="156"/>
    </row>
    <row r="29" spans="1:10" hidden="1" x14ac:dyDescent="0.2">
      <c r="A29" s="157"/>
      <c r="B29" s="159"/>
      <c r="C29" s="165" t="str">
        <v/>
      </c>
      <c r="D29" s="166" t="str">
        <v/>
      </c>
      <c r="E29" s="162" t="s">
        <v>473</v>
      </c>
      <c r="F29" s="163"/>
      <c r="G29" s="162" t="s">
        <v>473</v>
      </c>
      <c r="H29" s="159"/>
      <c r="I29" s="157"/>
      <c r="J29" s="156"/>
    </row>
    <row r="30" spans="1:10" hidden="1" x14ac:dyDescent="0.2">
      <c r="A30" s="157"/>
      <c r="B30" s="159"/>
      <c r="C30" s="165" t="str">
        <v/>
      </c>
      <c r="D30" s="166" t="str">
        <v/>
      </c>
      <c r="E30" s="162" t="s">
        <v>473</v>
      </c>
      <c r="F30" s="163"/>
      <c r="G30" s="162" t="s">
        <v>473</v>
      </c>
      <c r="H30" s="159"/>
      <c r="I30" s="157"/>
      <c r="J30" s="156"/>
    </row>
    <row r="31" spans="1:10" hidden="1" x14ac:dyDescent="0.2">
      <c r="A31" s="157"/>
      <c r="B31" s="159"/>
      <c r="C31" s="165" t="str">
        <v/>
      </c>
      <c r="D31" s="164" t="str">
        <v/>
      </c>
      <c r="E31" s="162" t="s">
        <v>473</v>
      </c>
      <c r="F31" s="163"/>
      <c r="G31" s="162" t="s">
        <v>473</v>
      </c>
      <c r="H31" s="159"/>
      <c r="I31" s="157"/>
      <c r="J31" s="156"/>
    </row>
    <row r="32" spans="1:10" ht="9" customHeight="1" x14ac:dyDescent="0.2">
      <c r="A32" s="157"/>
      <c r="B32" s="159"/>
      <c r="C32" s="160"/>
      <c r="D32" s="160"/>
      <c r="E32" s="161"/>
      <c r="F32" s="160"/>
      <c r="G32" s="160"/>
      <c r="H32" s="159"/>
      <c r="I32" s="157"/>
      <c r="J32" s="156"/>
    </row>
    <row r="33" spans="1:10" ht="8.25" customHeight="1" x14ac:dyDescent="0.2">
      <c r="A33" s="157"/>
      <c r="B33" s="157"/>
      <c r="C33" s="158"/>
      <c r="D33" s="158"/>
      <c r="E33" s="158"/>
      <c r="F33" s="158"/>
      <c r="G33" s="158"/>
      <c r="H33" s="157"/>
      <c r="I33" s="157"/>
      <c r="J33" s="156"/>
    </row>
    <row r="34" spans="1:10" hidden="1" x14ac:dyDescent="0.2">
      <c r="C34" s="153"/>
      <c r="D34" s="153"/>
      <c r="E34" s="153"/>
      <c r="F34" s="153"/>
      <c r="G34" s="153"/>
    </row>
    <row r="35" spans="1:10" hidden="1" x14ac:dyDescent="0.2">
      <c r="C35" s="153"/>
      <c r="D35" s="153"/>
      <c r="E35" s="153"/>
      <c r="F35" s="153"/>
      <c r="G35" s="153"/>
    </row>
    <row r="36" spans="1:10" hidden="1" x14ac:dyDescent="0.2">
      <c r="C36" s="153"/>
      <c r="D36" s="153"/>
      <c r="E36" s="153"/>
      <c r="F36" s="153"/>
      <c r="G36" s="153"/>
    </row>
    <row r="37" spans="1:10" hidden="1" x14ac:dyDescent="0.2">
      <c r="C37" s="153"/>
      <c r="D37" s="153"/>
      <c r="E37" s="153"/>
      <c r="F37" s="153"/>
      <c r="G37" s="153"/>
    </row>
    <row r="38" spans="1:10" hidden="1" x14ac:dyDescent="0.2">
      <c r="C38" s="153"/>
      <c r="D38" s="153"/>
      <c r="E38" s="153"/>
      <c r="F38" s="153"/>
      <c r="G38" s="153"/>
    </row>
    <row r="39" spans="1:10" hidden="1" x14ac:dyDescent="0.2">
      <c r="C39" s="153"/>
      <c r="D39" s="153"/>
      <c r="E39" s="153"/>
      <c r="F39" s="153"/>
      <c r="G39" s="153"/>
    </row>
    <row r="40" spans="1:10" hidden="1" x14ac:dyDescent="0.2">
      <c r="C40" s="153"/>
      <c r="D40" s="153"/>
      <c r="E40" s="153"/>
      <c r="F40" s="153"/>
      <c r="G40" s="153"/>
    </row>
    <row r="41" spans="1:10" hidden="1" x14ac:dyDescent="0.2">
      <c r="C41" s="153"/>
      <c r="D41" s="153"/>
      <c r="E41" s="153"/>
      <c r="F41" s="153"/>
      <c r="G41" s="153"/>
    </row>
    <row r="42" spans="1:10" hidden="1" x14ac:dyDescent="0.2">
      <c r="C42" s="153"/>
      <c r="D42" s="153"/>
      <c r="E42" s="153"/>
      <c r="F42" s="153"/>
      <c r="G42" s="153"/>
    </row>
    <row r="43" spans="1:10" hidden="1" x14ac:dyDescent="0.2">
      <c r="C43" s="153"/>
      <c r="D43" s="153"/>
      <c r="E43" s="153"/>
      <c r="F43" s="153"/>
      <c r="G43" s="153"/>
    </row>
    <row r="44" spans="1:10" hidden="1" x14ac:dyDescent="0.2">
      <c r="C44" s="153"/>
      <c r="D44" s="153"/>
      <c r="E44" s="153"/>
      <c r="F44" s="153"/>
      <c r="G44" s="153"/>
    </row>
    <row r="45" spans="1:10" hidden="1" x14ac:dyDescent="0.2">
      <c r="C45" s="153"/>
      <c r="D45" s="153"/>
      <c r="E45" s="153"/>
      <c r="F45" s="153"/>
      <c r="G45" s="153"/>
    </row>
    <row r="46" spans="1:10" hidden="1" x14ac:dyDescent="0.2">
      <c r="C46" s="153"/>
      <c r="D46" s="153"/>
      <c r="E46" s="153"/>
      <c r="F46" s="153"/>
      <c r="G46" s="153"/>
    </row>
    <row r="47" spans="1:10" hidden="1" x14ac:dyDescent="0.2">
      <c r="C47" s="153"/>
      <c r="D47" s="153"/>
      <c r="E47" s="153"/>
      <c r="F47" s="153"/>
      <c r="G47" s="153"/>
    </row>
    <row r="48" spans="1:10" hidden="1" x14ac:dyDescent="0.2">
      <c r="C48" s="153"/>
      <c r="D48" s="153"/>
      <c r="E48" s="153"/>
      <c r="F48" s="153"/>
      <c r="G48" s="153"/>
    </row>
    <row r="49" spans="3:11" hidden="1" x14ac:dyDescent="0.2">
      <c r="C49" s="153"/>
      <c r="D49" s="153"/>
      <c r="E49" s="153"/>
      <c r="F49" s="153"/>
      <c r="G49" s="153"/>
    </row>
    <row r="50" spans="3:11" hidden="1" x14ac:dyDescent="0.2">
      <c r="C50" s="153"/>
      <c r="D50" s="153"/>
      <c r="E50" s="153"/>
      <c r="F50" s="153"/>
      <c r="G50" s="153"/>
    </row>
    <row r="51" spans="3:11" hidden="1" x14ac:dyDescent="0.2">
      <c r="C51" s="153"/>
      <c r="D51" s="153"/>
      <c r="E51" s="153"/>
      <c r="F51" s="153"/>
      <c r="G51" s="153"/>
    </row>
    <row r="52" spans="3:11" hidden="1" x14ac:dyDescent="0.2">
      <c r="C52" s="153"/>
      <c r="D52" s="153"/>
      <c r="E52" s="153"/>
      <c r="F52" s="153"/>
      <c r="G52" s="153"/>
      <c r="K52" s="140"/>
    </row>
    <row r="53" spans="3:11" hidden="1" x14ac:dyDescent="0.2">
      <c r="C53" s="153"/>
      <c r="D53" s="153"/>
      <c r="E53" s="153"/>
      <c r="F53" s="153"/>
      <c r="G53" s="153"/>
      <c r="K53" s="140"/>
    </row>
    <row r="54" spans="3:11" hidden="1" x14ac:dyDescent="0.2">
      <c r="C54" s="153"/>
      <c r="D54" s="153"/>
      <c r="E54" s="153"/>
      <c r="F54" s="153"/>
      <c r="G54" s="153"/>
      <c r="K54" s="140"/>
    </row>
    <row r="55" spans="3:11" hidden="1" x14ac:dyDescent="0.2">
      <c r="C55" s="153"/>
      <c r="D55" s="153"/>
      <c r="E55" s="153"/>
      <c r="F55" s="153"/>
      <c r="G55" s="153"/>
      <c r="K55" s="140"/>
    </row>
    <row r="56" spans="3:11" hidden="1" x14ac:dyDescent="0.2">
      <c r="C56" s="153"/>
      <c r="D56" s="153"/>
      <c r="E56" s="153"/>
      <c r="F56" s="153"/>
      <c r="G56" s="153"/>
      <c r="K56" s="140"/>
    </row>
    <row r="57" spans="3:11" hidden="1" x14ac:dyDescent="0.2">
      <c r="C57" s="153"/>
      <c r="D57" s="153"/>
      <c r="E57" s="153"/>
      <c r="F57" s="153"/>
      <c r="G57" s="153"/>
      <c r="K57" s="140"/>
    </row>
    <row r="58" spans="3:11" hidden="1" x14ac:dyDescent="0.2">
      <c r="C58" s="153"/>
      <c r="D58" s="153"/>
      <c r="E58" s="153"/>
      <c r="F58" s="153"/>
      <c r="G58" s="153"/>
      <c r="K58" s="140"/>
    </row>
    <row r="59" spans="3:11" hidden="1" x14ac:dyDescent="0.2">
      <c r="C59" s="153"/>
      <c r="D59" s="153"/>
      <c r="E59" s="153"/>
      <c r="F59" s="153"/>
      <c r="G59" s="153"/>
      <c r="J59" s="142"/>
      <c r="K59" s="140"/>
    </row>
    <row r="60" spans="3:11" hidden="1" x14ac:dyDescent="0.2">
      <c r="C60" s="153"/>
      <c r="D60" s="153"/>
      <c r="E60" s="153"/>
      <c r="F60" s="153"/>
      <c r="G60" s="153"/>
      <c r="K60" s="140"/>
    </row>
    <row r="61" spans="3:11" hidden="1" x14ac:dyDescent="0.2">
      <c r="C61" s="153"/>
      <c r="D61" s="153"/>
      <c r="E61" s="153"/>
      <c r="F61" s="153"/>
      <c r="G61" s="153"/>
      <c r="K61" s="140"/>
    </row>
    <row r="62" spans="3:11" hidden="1" x14ac:dyDescent="0.2">
      <c r="C62" s="153"/>
      <c r="D62" s="153"/>
      <c r="E62" s="153"/>
      <c r="F62" s="153"/>
      <c r="G62" s="153"/>
    </row>
    <row r="63" spans="3:11" hidden="1" x14ac:dyDescent="0.2">
      <c r="C63" s="153"/>
      <c r="D63" s="153"/>
      <c r="E63" s="153"/>
      <c r="F63" s="153"/>
      <c r="G63" s="153"/>
    </row>
    <row r="64" spans="3:11" hidden="1" x14ac:dyDescent="0.2">
      <c r="C64" s="153"/>
      <c r="D64" s="153"/>
      <c r="E64" s="153"/>
      <c r="F64" s="153"/>
      <c r="G64" s="153"/>
    </row>
    <row r="65" spans="3:7" hidden="1" x14ac:dyDescent="0.2">
      <c r="C65" s="153"/>
      <c r="D65" s="153"/>
      <c r="E65" s="153"/>
      <c r="F65" s="153"/>
      <c r="G65" s="153"/>
    </row>
    <row r="66" spans="3:7" hidden="1" x14ac:dyDescent="0.2">
      <c r="C66" s="153"/>
      <c r="D66" s="153"/>
      <c r="E66" s="153"/>
      <c r="F66" s="153"/>
      <c r="G66" s="153"/>
    </row>
    <row r="67" spans="3:7" hidden="1" x14ac:dyDescent="0.2">
      <c r="C67" s="153"/>
      <c r="D67" s="153"/>
      <c r="E67" s="153"/>
      <c r="F67" s="153"/>
      <c r="G67" s="153"/>
    </row>
    <row r="68" spans="3:7" hidden="1" x14ac:dyDescent="0.2">
      <c r="C68" s="153"/>
      <c r="D68" s="153"/>
      <c r="E68" s="153"/>
      <c r="F68" s="153"/>
      <c r="G68" s="153"/>
    </row>
    <row r="69" spans="3:7" hidden="1" x14ac:dyDescent="0.2">
      <c r="C69" s="153"/>
      <c r="D69" s="153"/>
      <c r="E69" s="153"/>
      <c r="F69" s="153"/>
      <c r="G69" s="153"/>
    </row>
    <row r="70" spans="3:7" hidden="1" x14ac:dyDescent="0.2">
      <c r="C70" s="153"/>
      <c r="D70" s="153"/>
      <c r="E70" s="153"/>
      <c r="F70" s="153"/>
      <c r="G70" s="153"/>
    </row>
    <row r="71" spans="3:7" hidden="1" x14ac:dyDescent="0.2">
      <c r="E71" s="153"/>
      <c r="G71" s="153"/>
    </row>
    <row r="72" spans="3:7" hidden="1" x14ac:dyDescent="0.2">
      <c r="E72" s="153"/>
      <c r="G72" s="153"/>
    </row>
    <row r="73" spans="3:7" hidden="1" x14ac:dyDescent="0.2">
      <c r="E73" s="153"/>
      <c r="G73" s="153"/>
    </row>
    <row r="74" spans="3:7" hidden="1" x14ac:dyDescent="0.2">
      <c r="E74" s="153"/>
      <c r="G74" s="153"/>
    </row>
    <row r="75" spans="3:7" hidden="1" x14ac:dyDescent="0.2">
      <c r="E75" s="153"/>
      <c r="G75" s="153"/>
    </row>
    <row r="76" spans="3:7" hidden="1" x14ac:dyDescent="0.2">
      <c r="E76" s="153"/>
      <c r="G76" s="153"/>
    </row>
    <row r="77" spans="3:7" hidden="1" x14ac:dyDescent="0.2">
      <c r="E77" s="153"/>
      <c r="G77" s="153"/>
    </row>
    <row r="78" spans="3:7" hidden="1" x14ac:dyDescent="0.2">
      <c r="E78" s="153"/>
      <c r="G78" s="153"/>
    </row>
    <row r="79" spans="3:7" hidden="1" x14ac:dyDescent="0.2">
      <c r="E79" s="153"/>
      <c r="G79" s="153"/>
    </row>
    <row r="80" spans="3:7" hidden="1" x14ac:dyDescent="0.2">
      <c r="E80" s="153"/>
      <c r="G80" s="153"/>
    </row>
    <row r="81" spans="5:7" hidden="1" x14ac:dyDescent="0.2">
      <c r="E81" s="153"/>
      <c r="G81" s="153"/>
    </row>
    <row r="82" spans="5:7" hidden="1" x14ac:dyDescent="0.2">
      <c r="E82" s="153"/>
      <c r="G82" s="153"/>
    </row>
    <row r="83" spans="5:7" hidden="1" x14ac:dyDescent="0.2">
      <c r="E83" s="153"/>
      <c r="G83" s="153"/>
    </row>
    <row r="84" spans="5:7" hidden="1" x14ac:dyDescent="0.2">
      <c r="E84" s="153"/>
      <c r="G84" s="153"/>
    </row>
    <row r="85" spans="5:7" hidden="1" x14ac:dyDescent="0.2">
      <c r="E85" s="153"/>
      <c r="G85" s="153"/>
    </row>
    <row r="86" spans="5:7" hidden="1" x14ac:dyDescent="0.2">
      <c r="E86" s="153"/>
      <c r="G86" s="153"/>
    </row>
    <row r="87" spans="5:7" hidden="1" x14ac:dyDescent="0.2">
      <c r="E87" s="153"/>
      <c r="G87" s="153"/>
    </row>
    <row r="88" spans="5:7" hidden="1" x14ac:dyDescent="0.2">
      <c r="E88" s="153"/>
      <c r="G88" s="153"/>
    </row>
    <row r="89" spans="5:7" hidden="1" x14ac:dyDescent="0.2">
      <c r="E89" s="153"/>
      <c r="G89" s="153"/>
    </row>
    <row r="90" spans="5:7" hidden="1" x14ac:dyDescent="0.2">
      <c r="E90" s="153"/>
      <c r="G90" s="153"/>
    </row>
    <row r="91" spans="5:7" hidden="1" x14ac:dyDescent="0.2">
      <c r="E91" s="153"/>
      <c r="G91" s="153"/>
    </row>
    <row r="92" spans="5:7" hidden="1" x14ac:dyDescent="0.2">
      <c r="E92" s="153"/>
      <c r="G92" s="153"/>
    </row>
    <row r="93" spans="5:7" hidden="1" x14ac:dyDescent="0.2">
      <c r="E93" s="153"/>
      <c r="G93" s="153"/>
    </row>
    <row r="94" spans="5:7" hidden="1" x14ac:dyDescent="0.2">
      <c r="E94" s="153"/>
      <c r="G94" s="153"/>
    </row>
    <row r="95" spans="5:7" hidden="1" x14ac:dyDescent="0.2">
      <c r="E95" s="153"/>
      <c r="G95" s="153"/>
    </row>
    <row r="96" spans="5:7" hidden="1" x14ac:dyDescent="0.2">
      <c r="E96" s="153"/>
      <c r="G96" s="153"/>
    </row>
    <row r="97" spans="5:29" hidden="1" x14ac:dyDescent="0.2">
      <c r="E97" s="153"/>
      <c r="G97" s="153"/>
    </row>
    <row r="98" spans="5:29" hidden="1" x14ac:dyDescent="0.2">
      <c r="E98" s="153"/>
      <c r="G98" s="153"/>
    </row>
    <row r="99" spans="5:29" hidden="1" x14ac:dyDescent="0.2">
      <c r="E99" s="153"/>
      <c r="G99" s="153"/>
      <c r="O99" s="154" t="s">
        <v>472</v>
      </c>
      <c r="P99" s="155" t="s">
        <v>471</v>
      </c>
      <c r="Q99" s="154" t="s">
        <v>470</v>
      </c>
      <c r="R99" s="154" t="s">
        <v>472</v>
      </c>
      <c r="S99" s="155" t="s">
        <v>471</v>
      </c>
      <c r="T99" s="154" t="s">
        <v>470</v>
      </c>
      <c r="U99" s="154" t="s">
        <v>472</v>
      </c>
      <c r="V99" s="155" t="s">
        <v>471</v>
      </c>
      <c r="W99" s="154" t="s">
        <v>470</v>
      </c>
      <c r="X99" s="154" t="s">
        <v>472</v>
      </c>
      <c r="Y99" s="155" t="s">
        <v>471</v>
      </c>
      <c r="Z99" s="154" t="s">
        <v>470</v>
      </c>
      <c r="AA99" s="140" t="s">
        <v>472</v>
      </c>
      <c r="AB99" s="141" t="s">
        <v>471</v>
      </c>
      <c r="AC99" s="140" t="s">
        <v>470</v>
      </c>
    </row>
    <row r="100" spans="5:29" ht="178.5" hidden="1" x14ac:dyDescent="0.2">
      <c r="E100" s="153"/>
      <c r="G100" s="153"/>
      <c r="O100" s="149" t="s">
        <v>465</v>
      </c>
      <c r="P100" s="145" t="s">
        <v>464</v>
      </c>
      <c r="Q100" s="145" t="s">
        <v>463</v>
      </c>
      <c r="R100" s="148" t="s">
        <v>469</v>
      </c>
      <c r="S100" s="148" t="s">
        <v>468</v>
      </c>
      <c r="T100" s="147"/>
      <c r="U100" s="146" t="s">
        <v>467</v>
      </c>
      <c r="V100" s="146" t="s">
        <v>466</v>
      </c>
      <c r="W100" s="146"/>
      <c r="X100" s="145" t="s">
        <v>465</v>
      </c>
      <c r="Y100" s="145" t="s">
        <v>464</v>
      </c>
      <c r="Z100" s="145" t="s">
        <v>463</v>
      </c>
      <c r="AA100" s="152" t="s">
        <v>462</v>
      </c>
      <c r="AB100" s="152" t="s">
        <v>449</v>
      </c>
      <c r="AC100" s="151"/>
    </row>
    <row r="101" spans="5:29" ht="102" hidden="1" x14ac:dyDescent="0.2">
      <c r="E101" s="153"/>
      <c r="G101" s="153"/>
      <c r="O101" s="149" t="s">
        <v>425</v>
      </c>
      <c r="P101" s="145" t="s">
        <v>457</v>
      </c>
      <c r="Q101" s="145" t="s">
        <v>456</v>
      </c>
      <c r="R101" s="148" t="s">
        <v>461</v>
      </c>
      <c r="S101" s="148" t="s">
        <v>460</v>
      </c>
      <c r="T101" s="147"/>
      <c r="U101" s="146" t="s">
        <v>459</v>
      </c>
      <c r="V101" s="146" t="s">
        <v>458</v>
      </c>
      <c r="W101" s="146"/>
      <c r="X101" s="145" t="s">
        <v>425</v>
      </c>
      <c r="Y101" s="145" t="s">
        <v>457</v>
      </c>
      <c r="Z101" s="145" t="s">
        <v>456</v>
      </c>
      <c r="AA101" s="152" t="s">
        <v>455</v>
      </c>
      <c r="AB101" s="152" t="s">
        <v>449</v>
      </c>
      <c r="AC101" s="151"/>
    </row>
    <row r="102" spans="5:29" ht="102" hidden="1" x14ac:dyDescent="0.2">
      <c r="E102" s="153"/>
      <c r="G102" s="153"/>
      <c r="O102" s="149" t="s">
        <v>452</v>
      </c>
      <c r="P102" s="145" t="s">
        <v>451</v>
      </c>
      <c r="Q102" s="149"/>
      <c r="R102" s="148" t="s">
        <v>425</v>
      </c>
      <c r="S102" s="148" t="s">
        <v>424</v>
      </c>
      <c r="T102" s="147"/>
      <c r="U102" s="146" t="s">
        <v>454</v>
      </c>
      <c r="V102" s="146" t="s">
        <v>453</v>
      </c>
      <c r="W102" s="146" t="s">
        <v>430</v>
      </c>
      <c r="X102" s="145" t="s">
        <v>452</v>
      </c>
      <c r="Y102" s="145" t="s">
        <v>451</v>
      </c>
      <c r="Z102" s="149"/>
      <c r="AA102" s="152" t="s">
        <v>450</v>
      </c>
      <c r="AB102" s="152" t="s">
        <v>449</v>
      </c>
      <c r="AC102" s="151"/>
    </row>
    <row r="103" spans="5:29" ht="63.75" hidden="1" x14ac:dyDescent="0.2">
      <c r="E103" s="153"/>
      <c r="G103" s="153"/>
      <c r="O103" s="149" t="s">
        <v>444</v>
      </c>
      <c r="P103" s="145" t="s">
        <v>443</v>
      </c>
      <c r="Q103" s="149" t="s">
        <v>442</v>
      </c>
      <c r="R103" s="148" t="s">
        <v>409</v>
      </c>
      <c r="S103" s="148" t="s">
        <v>448</v>
      </c>
      <c r="T103" s="147"/>
      <c r="U103" s="146" t="s">
        <v>447</v>
      </c>
      <c r="V103" s="146" t="s">
        <v>446</v>
      </c>
      <c r="W103" s="146" t="s">
        <v>445</v>
      </c>
      <c r="X103" s="145" t="s">
        <v>444</v>
      </c>
      <c r="Y103" s="145" t="s">
        <v>443</v>
      </c>
      <c r="Z103" s="149" t="s">
        <v>442</v>
      </c>
      <c r="AA103" s="152" t="s">
        <v>441</v>
      </c>
      <c r="AB103" s="152" t="s">
        <v>440</v>
      </c>
      <c r="AC103" s="151"/>
    </row>
    <row r="104" spans="5:29" ht="63.75" hidden="1" x14ac:dyDescent="0.2">
      <c r="E104" s="153"/>
      <c r="G104" s="153"/>
      <c r="O104" s="149" t="s">
        <v>437</v>
      </c>
      <c r="P104" s="145" t="s">
        <v>436</v>
      </c>
      <c r="Q104" s="149" t="s">
        <v>435</v>
      </c>
      <c r="R104" s="148" t="s">
        <v>418</v>
      </c>
      <c r="S104" s="148" t="s">
        <v>417</v>
      </c>
      <c r="T104" s="147"/>
      <c r="U104" s="146" t="s">
        <v>439</v>
      </c>
      <c r="V104" s="146" t="s">
        <v>438</v>
      </c>
      <c r="W104" s="146" t="s">
        <v>430</v>
      </c>
      <c r="X104" s="145" t="s">
        <v>437</v>
      </c>
      <c r="Y104" s="145" t="s">
        <v>436</v>
      </c>
      <c r="Z104" s="149" t="s">
        <v>435</v>
      </c>
      <c r="AA104" s="152" t="s">
        <v>434</v>
      </c>
      <c r="AB104" s="152" t="s">
        <v>433</v>
      </c>
      <c r="AC104" s="151"/>
    </row>
    <row r="105" spans="5:29" ht="89.25" hidden="1" x14ac:dyDescent="0.2">
      <c r="E105" s="153"/>
      <c r="O105" s="149" t="s">
        <v>29</v>
      </c>
      <c r="P105" s="145" t="s">
        <v>429</v>
      </c>
      <c r="Q105" s="145" t="s">
        <v>428</v>
      </c>
      <c r="R105" s="148" t="s">
        <v>405</v>
      </c>
      <c r="S105" s="148" t="s">
        <v>414</v>
      </c>
      <c r="T105" s="147"/>
      <c r="U105" s="146" t="s">
        <v>432</v>
      </c>
      <c r="V105" s="146" t="s">
        <v>431</v>
      </c>
      <c r="W105" s="146" t="s">
        <v>430</v>
      </c>
      <c r="X105" s="145" t="s">
        <v>29</v>
      </c>
      <c r="Y105" s="145" t="s">
        <v>429</v>
      </c>
      <c r="Z105" s="145" t="s">
        <v>428</v>
      </c>
      <c r="AA105" s="152" t="s">
        <v>427</v>
      </c>
      <c r="AB105" s="152" t="s">
        <v>426</v>
      </c>
      <c r="AC105" s="151"/>
    </row>
    <row r="106" spans="5:29" ht="38.25" hidden="1" x14ac:dyDescent="0.2">
      <c r="O106" s="149" t="s">
        <v>423</v>
      </c>
      <c r="P106" s="145" t="s">
        <v>422</v>
      </c>
      <c r="Q106" s="149" t="s">
        <v>421</v>
      </c>
      <c r="R106" s="148" t="s">
        <v>401</v>
      </c>
      <c r="S106" s="148" t="s">
        <v>413</v>
      </c>
      <c r="T106" s="147"/>
      <c r="U106" s="146" t="s">
        <v>425</v>
      </c>
      <c r="V106" s="146" t="s">
        <v>424</v>
      </c>
      <c r="W106" s="146"/>
      <c r="X106" s="145" t="s">
        <v>423</v>
      </c>
      <c r="Y106" s="145" t="s">
        <v>422</v>
      </c>
      <c r="Z106" s="149" t="s">
        <v>421</v>
      </c>
      <c r="AA106" s="152" t="s">
        <v>420</v>
      </c>
      <c r="AB106" s="152"/>
      <c r="AC106" s="151"/>
    </row>
    <row r="107" spans="5:29" ht="38.25" hidden="1" x14ac:dyDescent="0.2">
      <c r="O107" s="149" t="s">
        <v>416</v>
      </c>
      <c r="P107" s="145" t="s">
        <v>419</v>
      </c>
      <c r="Q107" s="149"/>
      <c r="R107" s="148" t="s">
        <v>400</v>
      </c>
      <c r="S107" s="148" t="s">
        <v>410</v>
      </c>
      <c r="T107" s="147"/>
      <c r="U107" s="146" t="s">
        <v>418</v>
      </c>
      <c r="V107" s="146" t="s">
        <v>417</v>
      </c>
      <c r="W107" s="146"/>
      <c r="X107" s="145" t="s">
        <v>416</v>
      </c>
      <c r="Y107" s="145" t="s">
        <v>415</v>
      </c>
      <c r="Z107" s="149"/>
    </row>
    <row r="108" spans="5:29" ht="25.5" hidden="1" x14ac:dyDescent="0.2">
      <c r="O108" s="149" t="s">
        <v>404</v>
      </c>
      <c r="P108" s="145" t="s">
        <v>403</v>
      </c>
      <c r="Q108" s="149" t="s">
        <v>402</v>
      </c>
      <c r="R108" s="147" t="s">
        <v>404</v>
      </c>
      <c r="S108" s="148" t="s">
        <v>403</v>
      </c>
      <c r="T108" s="147" t="s">
        <v>402</v>
      </c>
      <c r="U108" s="146" t="s">
        <v>405</v>
      </c>
      <c r="V108" s="146" t="s">
        <v>414</v>
      </c>
      <c r="W108" s="150"/>
      <c r="X108" s="145" t="s">
        <v>404</v>
      </c>
      <c r="Y108" s="145" t="s">
        <v>403</v>
      </c>
      <c r="Z108" s="149" t="s">
        <v>402</v>
      </c>
    </row>
    <row r="109" spans="5:29" ht="51" hidden="1" x14ac:dyDescent="0.2">
      <c r="O109" s="149">
        <v>0</v>
      </c>
      <c r="P109" s="149">
        <v>0</v>
      </c>
      <c r="Q109" s="149">
        <v>0</v>
      </c>
      <c r="R109" s="147">
        <v>0</v>
      </c>
      <c r="S109" s="147">
        <v>0</v>
      </c>
      <c r="T109" s="147">
        <v>0</v>
      </c>
      <c r="U109" s="146" t="s">
        <v>401</v>
      </c>
      <c r="V109" s="146" t="s">
        <v>413</v>
      </c>
      <c r="W109" s="150"/>
      <c r="X109" s="145" t="s">
        <v>412</v>
      </c>
      <c r="Y109" s="145" t="s">
        <v>411</v>
      </c>
      <c r="Z109" s="149">
        <v>0</v>
      </c>
    </row>
    <row r="110" spans="5:29" ht="38.25" hidden="1" x14ac:dyDescent="0.2">
      <c r="O110" s="149">
        <v>0</v>
      </c>
      <c r="P110" s="149">
        <v>0</v>
      </c>
      <c r="Q110" s="149">
        <v>0</v>
      </c>
      <c r="R110" s="147">
        <v>0</v>
      </c>
      <c r="S110" s="147">
        <v>0</v>
      </c>
      <c r="T110" s="147">
        <v>0</v>
      </c>
      <c r="U110" s="146" t="s">
        <v>400</v>
      </c>
      <c r="V110" s="146" t="s">
        <v>410</v>
      </c>
      <c r="W110" s="150"/>
      <c r="X110" s="145" t="s">
        <v>409</v>
      </c>
      <c r="Y110" s="145" t="s">
        <v>408</v>
      </c>
      <c r="Z110" s="149">
        <v>0</v>
      </c>
    </row>
    <row r="111" spans="5:29" ht="25.5" hidden="1" x14ac:dyDescent="0.2">
      <c r="O111" s="149">
        <v>0</v>
      </c>
      <c r="P111" s="149">
        <v>0</v>
      </c>
      <c r="Q111" s="149">
        <v>0</v>
      </c>
      <c r="R111" s="147">
        <v>0</v>
      </c>
      <c r="S111" s="147">
        <v>0</v>
      </c>
      <c r="T111" s="147">
        <v>0</v>
      </c>
      <c r="U111" s="146" t="s">
        <v>398</v>
      </c>
      <c r="V111" s="146" t="s">
        <v>407</v>
      </c>
      <c r="W111" s="146" t="s">
        <v>406</v>
      </c>
      <c r="X111" s="145" t="s">
        <v>405</v>
      </c>
      <c r="Y111" s="145">
        <v>0</v>
      </c>
      <c r="Z111" s="149">
        <v>0</v>
      </c>
    </row>
    <row r="112" spans="5:29" hidden="1" x14ac:dyDescent="0.2">
      <c r="O112" s="149">
        <v>0</v>
      </c>
      <c r="P112" s="149">
        <v>0</v>
      </c>
      <c r="Q112" s="149">
        <v>0</v>
      </c>
      <c r="R112" s="148"/>
      <c r="S112" s="147">
        <v>0</v>
      </c>
      <c r="T112" s="147">
        <v>0</v>
      </c>
      <c r="U112" s="150" t="s">
        <v>404</v>
      </c>
      <c r="V112" s="146" t="s">
        <v>403</v>
      </c>
      <c r="W112" s="150" t="s">
        <v>402</v>
      </c>
      <c r="X112" s="145" t="s">
        <v>401</v>
      </c>
      <c r="Y112" s="145">
        <v>0</v>
      </c>
      <c r="Z112" s="149">
        <v>0</v>
      </c>
    </row>
    <row r="113" spans="15:26" ht="63.75" hidden="1" x14ac:dyDescent="0.2">
      <c r="O113" s="149"/>
      <c r="P113" s="145"/>
      <c r="Q113" s="149"/>
      <c r="R113" s="148"/>
      <c r="S113" s="148"/>
      <c r="T113" s="147"/>
      <c r="U113" s="146"/>
      <c r="V113" s="146"/>
      <c r="W113" s="146"/>
      <c r="X113" s="145" t="s">
        <v>400</v>
      </c>
      <c r="Y113" s="145" t="s">
        <v>399</v>
      </c>
      <c r="Z113" s="145"/>
    </row>
    <row r="114" spans="15:26" ht="25.5" hidden="1" x14ac:dyDescent="0.2">
      <c r="O114" s="149"/>
      <c r="P114" s="145"/>
      <c r="Q114" s="149"/>
      <c r="R114" s="148"/>
      <c r="S114" s="148"/>
      <c r="T114" s="147"/>
      <c r="U114" s="146"/>
      <c r="V114" s="146"/>
      <c r="W114" s="146"/>
      <c r="X114" s="145" t="s">
        <v>398</v>
      </c>
      <c r="Y114" s="145" t="s">
        <v>397</v>
      </c>
      <c r="Z114" s="145"/>
    </row>
    <row r="115" spans="15:26" hidden="1" x14ac:dyDescent="0.2">
      <c r="O115" s="142"/>
      <c r="P115" s="144"/>
      <c r="Q115" s="142"/>
      <c r="R115" s="144"/>
      <c r="S115" s="144"/>
      <c r="T115" s="142"/>
      <c r="U115" s="144"/>
      <c r="V115" s="144"/>
      <c r="W115" s="144"/>
      <c r="X115" s="144"/>
      <c r="Y115" s="144"/>
      <c r="Z115" s="144"/>
    </row>
  </sheetData>
  <sheetProtection password="CA6B" sheet="1" objects="1" scenarios="1" selectLockedCells="1"/>
  <mergeCells count="3">
    <mergeCell ref="C24:G24"/>
    <mergeCell ref="C1:E1"/>
    <mergeCell ref="F1:G1"/>
  </mergeCells>
  <conditionalFormatting sqref="C24:C25 C27:D31 F27:F31 C26:G26 C10:D23 F10:F23 C8:G9 E25:G25">
    <cfRule type="expression" dxfId="148" priority="108">
      <formula>$D$8=$N$5</formula>
    </cfRule>
    <cfRule type="expression" dxfId="147" priority="109">
      <formula>$D$8=$N$4</formula>
    </cfRule>
    <cfRule type="expression" dxfId="146" priority="110">
      <formula>$D$8=$N$3</formula>
    </cfRule>
    <cfRule type="expression" dxfId="145" priority="111">
      <formula>$D$8=$N$2</formula>
    </cfRule>
  </conditionalFormatting>
  <conditionalFormatting sqref="C9:G9">
    <cfRule type="expression" dxfId="144" priority="107">
      <formula>$D$8="Development Application"</formula>
    </cfRule>
  </conditionalFormatting>
  <conditionalFormatting sqref="I52:I62 K52:M62">
    <cfRule type="expression" dxfId="143" priority="112">
      <formula>$D$8=$N$2</formula>
    </cfRule>
  </conditionalFormatting>
  <conditionalFormatting sqref="C9">
    <cfRule type="expression" dxfId="142" priority="104">
      <formula>$D$8="Combined Development/Construction Certificate"</formula>
    </cfRule>
    <cfRule type="expression" dxfId="141" priority="105">
      <formula>$D$8="Complying Development Certificate"</formula>
    </cfRule>
    <cfRule type="expression" dxfId="140" priority="106">
      <formula>$D$8="Construction Certificate"</formula>
    </cfRule>
  </conditionalFormatting>
  <conditionalFormatting sqref="D9:G9">
    <cfRule type="expression" dxfId="139" priority="101">
      <formula>$D$8="Combined Development/Construction Certificate"</formula>
    </cfRule>
    <cfRule type="expression" dxfId="138" priority="102">
      <formula>$D$8="Complying Development Certificate"</formula>
    </cfRule>
    <cfRule type="expression" dxfId="137" priority="103">
      <formula>$D$8="Construction Certificate"</formula>
    </cfRule>
  </conditionalFormatting>
  <conditionalFormatting sqref="E9">
    <cfRule type="expression" dxfId="136" priority="100">
      <formula>$D$8="Select Application Type"</formula>
    </cfRule>
  </conditionalFormatting>
  <conditionalFormatting sqref="G9">
    <cfRule type="expression" dxfId="135" priority="99">
      <formula>$D$8="Select Application Type"</formula>
    </cfRule>
  </conditionalFormatting>
  <conditionalFormatting sqref="E8">
    <cfRule type="expression" dxfId="134" priority="98">
      <formula>$D$8="Select Application Type"</formula>
    </cfRule>
  </conditionalFormatting>
  <conditionalFormatting sqref="F8">
    <cfRule type="expression" dxfId="133" priority="97">
      <formula>$D$8="Select Application Type"</formula>
    </cfRule>
  </conditionalFormatting>
  <conditionalFormatting sqref="G8">
    <cfRule type="expression" dxfId="132" priority="96">
      <formula>$D$8="Select Application Type"</formula>
    </cfRule>
  </conditionalFormatting>
  <conditionalFormatting sqref="C25:C31">
    <cfRule type="expression" dxfId="131" priority="95">
      <formula>$D$25="Yes"</formula>
    </cfRule>
  </conditionalFormatting>
  <conditionalFormatting sqref="D25:D31">
    <cfRule type="expression" dxfId="130" priority="94">
      <formula>$D$25="Yes"</formula>
    </cfRule>
  </conditionalFormatting>
  <conditionalFormatting sqref="F27:F31 E25:G26">
    <cfRule type="expression" dxfId="129" priority="93">
      <formula>$D$25="Yes"</formula>
    </cfRule>
  </conditionalFormatting>
  <conditionalFormatting sqref="C26">
    <cfRule type="expression" dxfId="128" priority="92">
      <formula>$D$25="Yes"</formula>
    </cfRule>
  </conditionalFormatting>
  <conditionalFormatting sqref="D26">
    <cfRule type="expression" dxfId="127" priority="91">
      <formula>$D$25="Yes"</formula>
    </cfRule>
  </conditionalFormatting>
  <conditionalFormatting sqref="D26">
    <cfRule type="expression" dxfId="126" priority="90">
      <formula>$D$25="Yes"</formula>
    </cfRule>
  </conditionalFormatting>
  <conditionalFormatting sqref="E26">
    <cfRule type="expression" dxfId="125" priority="89">
      <formula>$D$25="Yes"</formula>
    </cfRule>
  </conditionalFormatting>
  <conditionalFormatting sqref="E26">
    <cfRule type="expression" dxfId="124" priority="88">
      <formula>$D$25="Yes"</formula>
    </cfRule>
  </conditionalFormatting>
  <conditionalFormatting sqref="E26">
    <cfRule type="expression" dxfId="123" priority="87">
      <formula>$D$25="Yes"</formula>
    </cfRule>
  </conditionalFormatting>
  <conditionalFormatting sqref="G26">
    <cfRule type="expression" dxfId="122" priority="86">
      <formula>$D$25="Yes"</formula>
    </cfRule>
  </conditionalFormatting>
  <conditionalFormatting sqref="G26">
    <cfRule type="expression" dxfId="121" priority="85">
      <formula>$D$25="Yes"</formula>
    </cfRule>
  </conditionalFormatting>
  <conditionalFormatting sqref="G26">
    <cfRule type="expression" dxfId="120" priority="84">
      <formula>$D$25="Yes"</formula>
    </cfRule>
  </conditionalFormatting>
  <conditionalFormatting sqref="F26">
    <cfRule type="expression" dxfId="119" priority="83">
      <formula>$D$25="Yes"</formula>
    </cfRule>
  </conditionalFormatting>
  <conditionalFormatting sqref="F26">
    <cfRule type="expression" dxfId="118" priority="82">
      <formula>$D$25="Yes"</formula>
    </cfRule>
  </conditionalFormatting>
  <conditionalFormatting sqref="F26">
    <cfRule type="expression" dxfId="117" priority="81">
      <formula>$D$25="Yes"</formula>
    </cfRule>
  </conditionalFormatting>
  <conditionalFormatting sqref="E25">
    <cfRule type="expression" dxfId="116" priority="67">
      <formula>$D$8="Select Application Type"</formula>
    </cfRule>
    <cfRule type="expression" dxfId="115" priority="80">
      <formula>$D$8="Select Application Type"</formula>
    </cfRule>
  </conditionalFormatting>
  <conditionalFormatting sqref="F25">
    <cfRule type="expression" dxfId="114" priority="79">
      <formula>$D$8="Select Application Type"</formula>
    </cfRule>
  </conditionalFormatting>
  <conditionalFormatting sqref="G25">
    <cfRule type="expression" dxfId="113" priority="78">
      <formula>$D$8="Select Application Type"</formula>
    </cfRule>
  </conditionalFormatting>
  <conditionalFormatting sqref="C3:D6">
    <cfRule type="expression" dxfId="112" priority="74">
      <formula>$D$8=$N$5</formula>
    </cfRule>
    <cfRule type="expression" dxfId="111" priority="75">
      <formula>$D$8=$N$4</formula>
    </cfRule>
    <cfRule type="expression" dxfId="110" priority="76">
      <formula>$D$8=$N$3</formula>
    </cfRule>
    <cfRule type="expression" dxfId="109" priority="77">
      <formula>$D$8=$N$2</formula>
    </cfRule>
  </conditionalFormatting>
  <conditionalFormatting sqref="C3:D6">
    <cfRule type="expression" dxfId="108" priority="73">
      <formula>$D$8="Select Application Type"</formula>
    </cfRule>
  </conditionalFormatting>
  <conditionalFormatting sqref="F3:F6">
    <cfRule type="expression" dxfId="107" priority="69">
      <formula>$D$8=$N$5</formula>
    </cfRule>
    <cfRule type="expression" dxfId="106" priority="70">
      <formula>$D$8=$N$4</formula>
    </cfRule>
    <cfRule type="expression" dxfId="105" priority="71">
      <formula>$D$8=$N$3</formula>
    </cfRule>
    <cfRule type="expression" dxfId="104" priority="72">
      <formula>$D$8=$N$2</formula>
    </cfRule>
  </conditionalFormatting>
  <conditionalFormatting sqref="F3:F6">
    <cfRule type="expression" dxfId="103" priority="68">
      <formula>$D$8="Select Application Type"</formula>
    </cfRule>
  </conditionalFormatting>
  <conditionalFormatting sqref="E8">
    <cfRule type="expression" dxfId="102" priority="65">
      <formula>$D$8="Select Application Type"</formula>
    </cfRule>
    <cfRule type="expression" dxfId="101" priority="66">
      <formula>$D$8="Select Application Type"</formula>
    </cfRule>
  </conditionalFormatting>
  <conditionalFormatting sqref="F8">
    <cfRule type="expression" dxfId="100" priority="64">
      <formula>$D$8="Select Application Type"</formula>
    </cfRule>
  </conditionalFormatting>
  <conditionalFormatting sqref="F8">
    <cfRule type="expression" dxfId="99" priority="62">
      <formula>$D$8="Select Application Type"</formula>
    </cfRule>
    <cfRule type="expression" dxfId="98" priority="63">
      <formula>$D$8="Select Application Type"</formula>
    </cfRule>
  </conditionalFormatting>
  <conditionalFormatting sqref="G8">
    <cfRule type="expression" dxfId="97" priority="61">
      <formula>$D$8="Select Application Type"</formula>
    </cfRule>
  </conditionalFormatting>
  <conditionalFormatting sqref="G8">
    <cfRule type="expression" dxfId="96" priority="60">
      <formula>$D$8="Select Application Type"</formula>
    </cfRule>
  </conditionalFormatting>
  <conditionalFormatting sqref="G8">
    <cfRule type="expression" dxfId="95" priority="58">
      <formula>$D$8="Select Application Type"</formula>
    </cfRule>
    <cfRule type="expression" dxfId="94" priority="59">
      <formula>$D$8="Select Application Type"</formula>
    </cfRule>
  </conditionalFormatting>
  <conditionalFormatting sqref="E8">
    <cfRule type="expression" dxfId="93" priority="56">
      <formula>$D$8="Select Application Type"</formula>
    </cfRule>
    <cfRule type="expression" dxfId="92" priority="57">
      <formula>$D$8="Select Application Type"</formula>
    </cfRule>
  </conditionalFormatting>
  <conditionalFormatting sqref="E25">
    <cfRule type="expression" dxfId="91" priority="55">
      <formula>$D$8="Select Application Type"</formula>
    </cfRule>
  </conditionalFormatting>
  <conditionalFormatting sqref="E25">
    <cfRule type="expression" dxfId="90" priority="54">
      <formula>$D$25="Yes"</formula>
    </cfRule>
  </conditionalFormatting>
  <conditionalFormatting sqref="E25">
    <cfRule type="expression" dxfId="89" priority="52">
      <formula>$D$8="Select Application Type"</formula>
    </cfRule>
    <cfRule type="expression" dxfId="88" priority="53">
      <formula>$D$8="Select Application Type"</formula>
    </cfRule>
  </conditionalFormatting>
  <conditionalFormatting sqref="E25">
    <cfRule type="expression" dxfId="87" priority="51">
      <formula>$D$25="Yes"</formula>
    </cfRule>
  </conditionalFormatting>
  <conditionalFormatting sqref="E25">
    <cfRule type="expression" dxfId="86" priority="49">
      <formula>$D$8="Select Application Type"</formula>
    </cfRule>
    <cfRule type="expression" dxfId="85" priority="50">
      <formula>$D$8="Select Application Type"</formula>
    </cfRule>
  </conditionalFormatting>
  <conditionalFormatting sqref="G8">
    <cfRule type="expression" dxfId="84" priority="48">
      <formula>$D$8="Select Application Type"</formula>
    </cfRule>
  </conditionalFormatting>
  <conditionalFormatting sqref="E25">
    <cfRule type="expression" dxfId="83" priority="47">
      <formula>$D$8="Select Application Type"</formula>
    </cfRule>
  </conditionalFormatting>
  <conditionalFormatting sqref="E3">
    <cfRule type="expression" dxfId="82" priority="46">
      <formula>$E$3&lt;&gt;"Select"</formula>
    </cfRule>
  </conditionalFormatting>
  <conditionalFormatting sqref="E4">
    <cfRule type="expression" dxfId="81" priority="45">
      <formula>$E$4&lt;&gt;"Select"</formula>
    </cfRule>
  </conditionalFormatting>
  <conditionalFormatting sqref="E5">
    <cfRule type="expression" dxfId="80" priority="44">
      <formula>$E$5&lt;&gt;"Select"</formula>
    </cfRule>
  </conditionalFormatting>
  <conditionalFormatting sqref="E6">
    <cfRule type="expression" dxfId="79" priority="43">
      <formula>$E$6&lt;&gt;"Select"</formula>
    </cfRule>
  </conditionalFormatting>
  <conditionalFormatting sqref="G3">
    <cfRule type="expression" dxfId="78" priority="42">
      <formula>$G$3&lt;&gt;"Select"</formula>
    </cfRule>
  </conditionalFormatting>
  <conditionalFormatting sqref="G4">
    <cfRule type="expression" dxfId="77" priority="41">
      <formula>$G$4&lt;&gt;"Select"</formula>
    </cfRule>
  </conditionalFormatting>
  <conditionalFormatting sqref="G5">
    <cfRule type="expression" dxfId="76" priority="40">
      <formula>$G$5&lt;&gt;"Select"</formula>
    </cfRule>
  </conditionalFormatting>
  <conditionalFormatting sqref="G6">
    <cfRule type="expression" dxfId="75" priority="39">
      <formula>$G$6&lt;&gt;"Select"</formula>
    </cfRule>
  </conditionalFormatting>
  <conditionalFormatting sqref="E10">
    <cfRule type="expression" dxfId="74" priority="38">
      <formula>$E$10&lt;&gt;"Select"</formula>
    </cfRule>
  </conditionalFormatting>
  <conditionalFormatting sqref="E11">
    <cfRule type="expression" dxfId="73" priority="37">
      <formula>$E$11&lt;&gt;"Select"</formula>
    </cfRule>
  </conditionalFormatting>
  <conditionalFormatting sqref="E12">
    <cfRule type="expression" dxfId="72" priority="36">
      <formula>$E$12&lt;&gt;"Select"</formula>
    </cfRule>
  </conditionalFormatting>
  <conditionalFormatting sqref="E13">
    <cfRule type="expression" dxfId="71" priority="35">
      <formula>$E$13&lt;&gt;"Select"</formula>
    </cfRule>
  </conditionalFormatting>
  <conditionalFormatting sqref="E14">
    <cfRule type="expression" dxfId="70" priority="34">
      <formula>$E$14&lt;&gt;"Select"</formula>
    </cfRule>
  </conditionalFormatting>
  <conditionalFormatting sqref="E15">
    <cfRule type="expression" dxfId="69" priority="33">
      <formula>$E$15&lt;&gt;"Select"</formula>
    </cfRule>
  </conditionalFormatting>
  <conditionalFormatting sqref="E16">
    <cfRule type="expression" dxfId="68" priority="32">
      <formula>$E$16&lt;&gt;"Select"</formula>
    </cfRule>
  </conditionalFormatting>
  <conditionalFormatting sqref="E17">
    <cfRule type="expression" dxfId="67" priority="31">
      <formula>$E$17&lt;&gt;"Select"</formula>
    </cfRule>
  </conditionalFormatting>
  <conditionalFormatting sqref="E18">
    <cfRule type="expression" dxfId="66" priority="30">
      <formula>$E$18&lt;&gt;"Select"</formula>
    </cfRule>
  </conditionalFormatting>
  <conditionalFormatting sqref="E19">
    <cfRule type="expression" dxfId="65" priority="29">
      <formula>$E$19&lt;&gt;"Select"</formula>
    </cfRule>
  </conditionalFormatting>
  <conditionalFormatting sqref="G10">
    <cfRule type="expression" dxfId="64" priority="28">
      <formula>$G$10&lt;&gt;"Select"</formula>
    </cfRule>
  </conditionalFormatting>
  <conditionalFormatting sqref="G11">
    <cfRule type="expression" dxfId="63" priority="27">
      <formula>$G$11&lt;&gt;"Select"</formula>
    </cfRule>
  </conditionalFormatting>
  <conditionalFormatting sqref="G12">
    <cfRule type="expression" dxfId="62" priority="26">
      <formula>$G$12&lt;&gt;"Select"</formula>
    </cfRule>
  </conditionalFormatting>
  <conditionalFormatting sqref="G13">
    <cfRule type="expression" dxfId="61" priority="25">
      <formula>$G$13&lt;&gt;"Select"</formula>
    </cfRule>
  </conditionalFormatting>
  <conditionalFormatting sqref="G14">
    <cfRule type="expression" dxfId="60" priority="24">
      <formula>$G$14&lt;&gt;"Select"</formula>
    </cfRule>
  </conditionalFormatting>
  <conditionalFormatting sqref="G15">
    <cfRule type="expression" dxfId="59" priority="23">
      <formula>$G$15&lt;&gt;"Select"</formula>
    </cfRule>
  </conditionalFormatting>
  <conditionalFormatting sqref="G16">
    <cfRule type="expression" dxfId="58" priority="22">
      <formula>$G$16&lt;&gt;"Select"</formula>
    </cfRule>
  </conditionalFormatting>
  <conditionalFormatting sqref="G17">
    <cfRule type="expression" dxfId="57" priority="21">
      <formula>$G$17&lt;&gt;"Select"</formula>
    </cfRule>
  </conditionalFormatting>
  <conditionalFormatting sqref="G18">
    <cfRule type="expression" dxfId="56" priority="20">
      <formula>$G$18&lt;&gt;"Select"</formula>
    </cfRule>
  </conditionalFormatting>
  <conditionalFormatting sqref="G19">
    <cfRule type="expression" dxfId="55" priority="19">
      <formula>$G$19&lt;&gt;"Select"</formula>
    </cfRule>
  </conditionalFormatting>
  <conditionalFormatting sqref="E20">
    <cfRule type="expression" dxfId="54" priority="18">
      <formula>$E$20&lt;&gt;"Select"</formula>
    </cfRule>
  </conditionalFormatting>
  <conditionalFormatting sqref="E21">
    <cfRule type="expression" dxfId="53" priority="17">
      <formula>$E$21&lt;&gt;"Select"</formula>
    </cfRule>
  </conditionalFormatting>
  <conditionalFormatting sqref="E22">
    <cfRule type="expression" dxfId="52" priority="16">
      <formula>$E$22&lt;&gt;"Select"</formula>
    </cfRule>
  </conditionalFormatting>
  <conditionalFormatting sqref="E23">
    <cfRule type="expression" dxfId="51" priority="15">
      <formula>$E$23&lt;&gt;"Select"</formula>
    </cfRule>
  </conditionalFormatting>
  <conditionalFormatting sqref="G20">
    <cfRule type="expression" dxfId="50" priority="14">
      <formula>$G$20&lt;&gt;"Select"</formula>
    </cfRule>
  </conditionalFormatting>
  <conditionalFormatting sqref="G21">
    <cfRule type="expression" dxfId="49" priority="13">
      <formula>$G$21&lt;&gt;"Select"</formula>
    </cfRule>
  </conditionalFormatting>
  <conditionalFormatting sqref="G22">
    <cfRule type="expression" dxfId="48" priority="12">
      <formula>$G$22&lt;&gt;"Select"</formula>
    </cfRule>
  </conditionalFormatting>
  <conditionalFormatting sqref="G23">
    <cfRule type="expression" dxfId="47" priority="11">
      <formula>$G$23&lt;&gt;"Select"</formula>
    </cfRule>
  </conditionalFormatting>
  <conditionalFormatting sqref="E27">
    <cfRule type="expression" dxfId="46" priority="10">
      <formula>$E$23&lt;&gt;"Select"</formula>
    </cfRule>
  </conditionalFormatting>
  <conditionalFormatting sqref="E28">
    <cfRule type="expression" dxfId="45" priority="9">
      <formula>$E$23&lt;&gt;"Select"</formula>
    </cfRule>
  </conditionalFormatting>
  <conditionalFormatting sqref="E29">
    <cfRule type="expression" dxfId="44" priority="8">
      <formula>$E$23&lt;&gt;"Select"</formula>
    </cfRule>
  </conditionalFormatting>
  <conditionalFormatting sqref="E30">
    <cfRule type="expression" dxfId="43" priority="7">
      <formula>$E$23&lt;&gt;"Select"</formula>
    </cfRule>
  </conditionalFormatting>
  <conditionalFormatting sqref="E31">
    <cfRule type="expression" dxfId="42" priority="6">
      <formula>$E$23&lt;&gt;"Select"</formula>
    </cfRule>
  </conditionalFormatting>
  <conditionalFormatting sqref="G27">
    <cfRule type="expression" dxfId="41" priority="5">
      <formula>$G$27&lt;&gt;"Select"</formula>
    </cfRule>
  </conditionalFormatting>
  <conditionalFormatting sqref="G28">
    <cfRule type="expression" dxfId="40" priority="4">
      <formula>$G$28&lt;&gt;"Select"</formula>
    </cfRule>
  </conditionalFormatting>
  <conditionalFormatting sqref="G29">
    <cfRule type="expression" dxfId="39" priority="3">
      <formula>$G$29&lt;&gt;"Select"</formula>
    </cfRule>
  </conditionalFormatting>
  <conditionalFormatting sqref="G30">
    <cfRule type="expression" dxfId="38" priority="2">
      <formula>$G$30&lt;&gt;"Select"</formula>
    </cfRule>
  </conditionalFormatting>
  <conditionalFormatting sqref="G31">
    <cfRule type="expression" dxfId="37" priority="1">
      <formula>$G$31&lt;&gt;"Select"</formula>
    </cfRule>
  </conditionalFormatting>
  <dataValidations count="2">
    <dataValidation type="list" allowBlank="1" showInputMessage="1" showErrorMessage="1" sqref="D8">
      <formula1>ApplicationType</formula1>
    </dataValidation>
    <dataValidation type="list" allowBlank="1" showInputMessage="1" showErrorMessage="1" sqref="E26:E31 G3:G6 E106:E109 D25 G26:G31 E10:E23 G10:G23 E3:E6">
      <formula1>YesNoNA</formula1>
    </dataValidation>
  </dataValidations>
  <printOptions horizontalCentered="1"/>
  <pageMargins left="0" right="0" top="0" bottom="0" header="0.31496062992125984" footer="0.31496062992125984"/>
  <pageSetup paperSize="9" scale="90" orientation="portrait" r:id="rId1"/>
  <drawing r:id="rId2"/>
  <legacyDrawing r:id="rId3"/>
  <controls>
    <mc:AlternateContent xmlns:mc="http://schemas.openxmlformats.org/markup-compatibility/2006">
      <mc:Choice Requires="x14">
        <control shapeId="4103" r:id="rId4" name="CommandButton2">
          <controlPr locked="0" defaultSize="0" print="0" autoLine="0" r:id="rId5">
            <anchor moveWithCells="1" sizeWithCells="1">
              <from>
                <xdr:col>3</xdr:col>
                <xdr:colOff>2276475</xdr:colOff>
                <xdr:row>0</xdr:row>
                <xdr:rowOff>66675</xdr:rowOff>
              </from>
              <to>
                <xdr:col>4</xdr:col>
                <xdr:colOff>361950</xdr:colOff>
                <xdr:row>0</xdr:row>
                <xdr:rowOff>361950</xdr:rowOff>
              </to>
            </anchor>
          </controlPr>
        </control>
      </mc:Choice>
      <mc:Fallback>
        <control shapeId="4103" r:id="rId4" name="CommandButton2"/>
      </mc:Fallback>
    </mc:AlternateContent>
    <mc:AlternateContent xmlns:mc="http://schemas.openxmlformats.org/markup-compatibility/2006">
      <mc:Choice Requires="x14">
        <control shapeId="4097" r:id="rId6" name="Label 1">
          <controlPr defaultSize="0" autoFill="0" autoLine="0" autoPict="0">
            <anchor moveWithCells="1" sizeWithCells="1">
              <from>
                <xdr:col>2</xdr:col>
                <xdr:colOff>38100</xdr:colOff>
                <xdr:row>23</xdr:row>
                <xdr:rowOff>38100</xdr:rowOff>
              </from>
              <to>
                <xdr:col>2</xdr:col>
                <xdr:colOff>400050</xdr:colOff>
                <xdr:row>23</xdr:row>
                <xdr:rowOff>200025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249977111117893"/>
  </sheetPr>
  <dimension ref="A1:H274"/>
  <sheetViews>
    <sheetView showRowColHeaders="0" workbookViewId="0">
      <selection activeCell="C4" sqref="C4"/>
    </sheetView>
  </sheetViews>
  <sheetFormatPr defaultColWidth="0" defaultRowHeight="0" customHeight="1" zeroHeight="1" thickBottom="1" x14ac:dyDescent="0.3"/>
  <cols>
    <col min="1" max="1" width="15.85546875" style="193" bestFit="1" customWidth="1"/>
    <col min="2" max="2" width="15.42578125" style="194" bestFit="1" customWidth="1"/>
    <col min="3" max="3" width="49.7109375" style="193" bestFit="1" customWidth="1"/>
    <col min="4" max="4" width="2.140625" style="192" customWidth="1"/>
    <col min="5" max="7" width="9.140625" style="191" hidden="1" customWidth="1"/>
    <col min="8" max="8" width="48" style="191" hidden="1" customWidth="1"/>
    <col min="9" max="16384" width="9.140625" style="191" hidden="1"/>
  </cols>
  <sheetData>
    <row r="1" spans="1:8" ht="15" x14ac:dyDescent="0.25">
      <c r="A1" s="202"/>
      <c r="B1" s="202"/>
      <c r="C1" s="202"/>
    </row>
    <row r="2" spans="1:8" ht="18.75" x14ac:dyDescent="0.3">
      <c r="A2" s="1054" t="s">
        <v>1013</v>
      </c>
      <c r="B2" s="1055"/>
      <c r="C2" s="1055"/>
    </row>
    <row r="3" spans="1:8" ht="15.75" thickBot="1" x14ac:dyDescent="0.3">
      <c r="A3" s="202"/>
      <c r="B3" s="202"/>
      <c r="C3" s="202"/>
      <c r="H3" s="191" t="s">
        <v>477</v>
      </c>
    </row>
    <row r="4" spans="1:8" ht="15.75" thickBot="1" x14ac:dyDescent="0.3">
      <c r="A4" s="1052" t="s">
        <v>477</v>
      </c>
      <c r="B4" s="1053"/>
      <c r="C4" s="650" t="s">
        <v>477</v>
      </c>
      <c r="H4" s="191" t="s">
        <v>1012</v>
      </c>
    </row>
    <row r="5" spans="1:8" ht="15.75" thickBot="1" x14ac:dyDescent="0.3">
      <c r="A5" s="202"/>
      <c r="B5" s="202"/>
      <c r="C5" s="202"/>
      <c r="H5" s="193" t="s">
        <v>493</v>
      </c>
    </row>
    <row r="6" spans="1:8" ht="15.75" hidden="1" thickBot="1" x14ac:dyDescent="0.3">
      <c r="A6" s="202"/>
      <c r="B6" s="202"/>
      <c r="C6" s="202"/>
      <c r="H6" s="193" t="s">
        <v>490</v>
      </c>
    </row>
    <row r="7" spans="1:8" ht="15.75" hidden="1" thickBot="1" x14ac:dyDescent="0.3">
      <c r="A7" s="202"/>
      <c r="B7" s="202"/>
      <c r="C7" s="202"/>
      <c r="H7" s="193" t="s">
        <v>483</v>
      </c>
    </row>
    <row r="8" spans="1:8" ht="15.75" hidden="1" thickBot="1" x14ac:dyDescent="0.3">
      <c r="A8" s="202"/>
      <c r="B8" s="202"/>
      <c r="C8" s="202"/>
      <c r="H8" s="193" t="s">
        <v>486</v>
      </c>
    </row>
    <row r="9" spans="1:8" s="198" customFormat="1" ht="15.75" hidden="1" x14ac:dyDescent="0.25">
      <c r="A9" s="200" t="s">
        <v>1011</v>
      </c>
      <c r="B9" s="201" t="s">
        <v>1010</v>
      </c>
      <c r="C9" s="200" t="s">
        <v>471</v>
      </c>
      <c r="D9" s="199"/>
      <c r="H9" s="193" t="s">
        <v>1009</v>
      </c>
    </row>
    <row r="10" spans="1:8" ht="18.75" hidden="1" customHeight="1" thickBot="1" x14ac:dyDescent="0.3">
      <c r="A10" s="195" t="s">
        <v>630</v>
      </c>
      <c r="B10" s="197" t="s">
        <v>1008</v>
      </c>
      <c r="C10" s="195" t="s">
        <v>1007</v>
      </c>
      <c r="H10" s="193" t="s">
        <v>1006</v>
      </c>
    </row>
    <row r="11" spans="1:8" ht="18.75" hidden="1" customHeight="1" thickBot="1" x14ac:dyDescent="0.3">
      <c r="A11" s="195" t="s">
        <v>630</v>
      </c>
      <c r="B11" s="196" t="s">
        <v>1005</v>
      </c>
      <c r="C11" s="195" t="s">
        <v>1004</v>
      </c>
      <c r="H11" s="193" t="s">
        <v>1003</v>
      </c>
    </row>
    <row r="12" spans="1:8" ht="18.75" hidden="1" customHeight="1" thickBot="1" x14ac:dyDescent="0.3">
      <c r="A12" s="195" t="s">
        <v>630</v>
      </c>
      <c r="B12" s="196" t="s">
        <v>1002</v>
      </c>
      <c r="C12" s="195" t="s">
        <v>1001</v>
      </c>
      <c r="H12" s="193" t="s">
        <v>1000</v>
      </c>
    </row>
    <row r="13" spans="1:8" ht="18.75" hidden="1" customHeight="1" thickBot="1" x14ac:dyDescent="0.3">
      <c r="A13" s="195" t="s">
        <v>630</v>
      </c>
      <c r="B13" s="196" t="s">
        <v>999</v>
      </c>
      <c r="C13" s="195" t="s">
        <v>998</v>
      </c>
      <c r="H13" s="193" t="s">
        <v>997</v>
      </c>
    </row>
    <row r="14" spans="1:8" ht="18.75" hidden="1" customHeight="1" thickBot="1" x14ac:dyDescent="0.3">
      <c r="A14" s="195" t="s">
        <v>630</v>
      </c>
      <c r="B14" s="196" t="s">
        <v>996</v>
      </c>
      <c r="C14" s="195" t="s">
        <v>995</v>
      </c>
      <c r="H14" s="193" t="s">
        <v>994</v>
      </c>
    </row>
    <row r="15" spans="1:8" ht="18.75" hidden="1" customHeight="1" thickBot="1" x14ac:dyDescent="0.3">
      <c r="A15" s="195" t="s">
        <v>630</v>
      </c>
      <c r="B15" s="196" t="s">
        <v>993</v>
      </c>
      <c r="C15" s="195" t="s">
        <v>992</v>
      </c>
      <c r="H15" s="193" t="s">
        <v>991</v>
      </c>
    </row>
    <row r="16" spans="1:8" ht="18.75" hidden="1" customHeight="1" thickBot="1" x14ac:dyDescent="0.3">
      <c r="A16" s="195" t="s">
        <v>630</v>
      </c>
      <c r="B16" s="196" t="s">
        <v>990</v>
      </c>
      <c r="C16" s="195" t="s">
        <v>989</v>
      </c>
      <c r="H16" s="193" t="s">
        <v>988</v>
      </c>
    </row>
    <row r="17" spans="1:8" ht="18.75" hidden="1" customHeight="1" thickBot="1" x14ac:dyDescent="0.3">
      <c r="A17" s="195" t="s">
        <v>630</v>
      </c>
      <c r="B17" s="196" t="s">
        <v>987</v>
      </c>
      <c r="C17" s="195" t="s">
        <v>552</v>
      </c>
      <c r="H17" s="193" t="s">
        <v>986</v>
      </c>
    </row>
    <row r="18" spans="1:8" ht="18.75" hidden="1" customHeight="1" thickBot="1" x14ac:dyDescent="0.3">
      <c r="A18" s="195" t="s">
        <v>630</v>
      </c>
      <c r="B18" s="196" t="s">
        <v>609</v>
      </c>
      <c r="C18" s="195" t="s">
        <v>608</v>
      </c>
      <c r="H18" s="193" t="s">
        <v>985</v>
      </c>
    </row>
    <row r="19" spans="1:8" ht="18.75" hidden="1" customHeight="1" thickBot="1" x14ac:dyDescent="0.3">
      <c r="A19" s="195" t="s">
        <v>630</v>
      </c>
      <c r="B19" s="196" t="s">
        <v>984</v>
      </c>
      <c r="C19" s="195" t="s">
        <v>983</v>
      </c>
    </row>
    <row r="20" spans="1:8" ht="18.75" hidden="1" customHeight="1" thickBot="1" x14ac:dyDescent="0.3">
      <c r="A20" s="195" t="s">
        <v>630</v>
      </c>
      <c r="B20" s="196" t="s">
        <v>982</v>
      </c>
      <c r="C20" s="195" t="s">
        <v>981</v>
      </c>
    </row>
    <row r="21" spans="1:8" ht="18.75" hidden="1" customHeight="1" thickBot="1" x14ac:dyDescent="0.3">
      <c r="A21" s="195" t="s">
        <v>630</v>
      </c>
      <c r="B21" s="196" t="s">
        <v>980</v>
      </c>
      <c r="C21" s="195" t="s">
        <v>979</v>
      </c>
    </row>
    <row r="22" spans="1:8" ht="18.75" hidden="1" customHeight="1" thickBot="1" x14ac:dyDescent="0.3">
      <c r="A22" s="195" t="s">
        <v>630</v>
      </c>
      <c r="B22" s="196" t="s">
        <v>978</v>
      </c>
      <c r="C22" s="195" t="s">
        <v>977</v>
      </c>
    </row>
    <row r="23" spans="1:8" ht="18.75" hidden="1" customHeight="1" thickBot="1" x14ac:dyDescent="0.3">
      <c r="A23" s="195" t="s">
        <v>630</v>
      </c>
      <c r="B23" s="196" t="s">
        <v>976</v>
      </c>
      <c r="C23" s="195" t="s">
        <v>975</v>
      </c>
    </row>
    <row r="24" spans="1:8" ht="18.75" hidden="1" customHeight="1" thickBot="1" x14ac:dyDescent="0.3">
      <c r="A24" s="195" t="s">
        <v>630</v>
      </c>
      <c r="B24" s="196" t="s">
        <v>974</v>
      </c>
      <c r="C24" s="195" t="s">
        <v>973</v>
      </c>
    </row>
    <row r="25" spans="1:8" ht="18.75" hidden="1" customHeight="1" thickBot="1" x14ac:dyDescent="0.3">
      <c r="A25" s="195" t="s">
        <v>630</v>
      </c>
      <c r="B25" s="196" t="s">
        <v>972</v>
      </c>
      <c r="C25" s="195" t="s">
        <v>971</v>
      </c>
    </row>
    <row r="26" spans="1:8" ht="18.75" hidden="1" customHeight="1" thickBot="1" x14ac:dyDescent="0.3">
      <c r="A26" s="195" t="s">
        <v>630</v>
      </c>
      <c r="B26" s="196" t="s">
        <v>970</v>
      </c>
      <c r="C26" s="195" t="s">
        <v>969</v>
      </c>
    </row>
    <row r="27" spans="1:8" ht="18.75" hidden="1" customHeight="1" thickBot="1" x14ac:dyDescent="0.3">
      <c r="A27" s="195" t="s">
        <v>630</v>
      </c>
      <c r="B27" s="196" t="s">
        <v>968</v>
      </c>
      <c r="C27" s="195" t="s">
        <v>967</v>
      </c>
    </row>
    <row r="28" spans="1:8" ht="18.75" hidden="1" customHeight="1" thickBot="1" x14ac:dyDescent="0.3">
      <c r="A28" s="195" t="s">
        <v>630</v>
      </c>
      <c r="B28" s="196" t="s">
        <v>966</v>
      </c>
      <c r="C28" s="195" t="s">
        <v>965</v>
      </c>
    </row>
    <row r="29" spans="1:8" ht="18.75" hidden="1" customHeight="1" thickBot="1" x14ac:dyDescent="0.3">
      <c r="A29" s="195" t="s">
        <v>630</v>
      </c>
      <c r="B29" s="196" t="s">
        <v>964</v>
      </c>
      <c r="C29" s="195" t="s">
        <v>963</v>
      </c>
    </row>
    <row r="30" spans="1:8" ht="18.75" hidden="1" customHeight="1" thickBot="1" x14ac:dyDescent="0.3">
      <c r="A30" s="195" t="s">
        <v>630</v>
      </c>
      <c r="B30" s="196" t="s">
        <v>962</v>
      </c>
      <c r="C30" s="195" t="s">
        <v>547</v>
      </c>
    </row>
    <row r="31" spans="1:8" ht="18.75" hidden="1" customHeight="1" thickBot="1" x14ac:dyDescent="0.3">
      <c r="A31" s="195" t="s">
        <v>630</v>
      </c>
      <c r="B31" s="196" t="s">
        <v>961</v>
      </c>
      <c r="C31" s="195" t="s">
        <v>960</v>
      </c>
    </row>
    <row r="32" spans="1:8" ht="18.75" hidden="1" customHeight="1" thickBot="1" x14ac:dyDescent="0.3">
      <c r="A32" s="195" t="s">
        <v>630</v>
      </c>
      <c r="B32" s="196" t="s">
        <v>959</v>
      </c>
      <c r="C32" s="195" t="s">
        <v>958</v>
      </c>
    </row>
    <row r="33" spans="1:3" ht="18.75" hidden="1" customHeight="1" thickBot="1" x14ac:dyDescent="0.3">
      <c r="A33" s="195" t="s">
        <v>630</v>
      </c>
      <c r="B33" s="196" t="s">
        <v>957</v>
      </c>
      <c r="C33" s="195" t="s">
        <v>956</v>
      </c>
    </row>
    <row r="34" spans="1:3" ht="18.75" hidden="1" customHeight="1" thickBot="1" x14ac:dyDescent="0.3">
      <c r="A34" s="195" t="s">
        <v>630</v>
      </c>
      <c r="B34" s="196" t="s">
        <v>955</v>
      </c>
      <c r="C34" s="195" t="s">
        <v>954</v>
      </c>
    </row>
    <row r="35" spans="1:3" ht="18.75" hidden="1" customHeight="1" thickBot="1" x14ac:dyDescent="0.3">
      <c r="A35" s="195" t="s">
        <v>630</v>
      </c>
      <c r="B35" s="196" t="s">
        <v>953</v>
      </c>
      <c r="C35" s="195" t="s">
        <v>952</v>
      </c>
    </row>
    <row r="36" spans="1:3" ht="18.75" hidden="1" customHeight="1" thickBot="1" x14ac:dyDescent="0.3">
      <c r="A36" s="195" t="s">
        <v>630</v>
      </c>
      <c r="B36" s="196" t="s">
        <v>951</v>
      </c>
      <c r="C36" s="195" t="s">
        <v>950</v>
      </c>
    </row>
    <row r="37" spans="1:3" ht="18.75" hidden="1" customHeight="1" thickBot="1" x14ac:dyDescent="0.3">
      <c r="A37" s="195" t="s">
        <v>630</v>
      </c>
      <c r="B37" s="196" t="s">
        <v>949</v>
      </c>
      <c r="C37" s="195" t="s">
        <v>948</v>
      </c>
    </row>
    <row r="38" spans="1:3" ht="18.75" hidden="1" customHeight="1" thickBot="1" x14ac:dyDescent="0.3">
      <c r="A38" s="195" t="s">
        <v>630</v>
      </c>
      <c r="B38" s="196" t="s">
        <v>947</v>
      </c>
      <c r="C38" s="195" t="s">
        <v>946</v>
      </c>
    </row>
    <row r="39" spans="1:3" ht="18.75" hidden="1" customHeight="1" thickBot="1" x14ac:dyDescent="0.3">
      <c r="A39" s="195" t="s">
        <v>630</v>
      </c>
      <c r="B39" s="196" t="s">
        <v>945</v>
      </c>
      <c r="C39" s="195" t="s">
        <v>944</v>
      </c>
    </row>
    <row r="40" spans="1:3" ht="18.75" hidden="1" customHeight="1" thickBot="1" x14ac:dyDescent="0.3">
      <c r="A40" s="195" t="s">
        <v>630</v>
      </c>
      <c r="B40" s="196" t="s">
        <v>943</v>
      </c>
      <c r="C40" s="195" t="s">
        <v>942</v>
      </c>
    </row>
    <row r="41" spans="1:3" ht="18.75" hidden="1" customHeight="1" thickBot="1" x14ac:dyDescent="0.3">
      <c r="A41" s="195" t="s">
        <v>630</v>
      </c>
      <c r="B41" s="196" t="s">
        <v>941</v>
      </c>
      <c r="C41" s="195" t="s">
        <v>940</v>
      </c>
    </row>
    <row r="42" spans="1:3" ht="18.75" hidden="1" customHeight="1" thickBot="1" x14ac:dyDescent="0.3">
      <c r="A42" s="195" t="s">
        <v>630</v>
      </c>
      <c r="B42" s="196" t="s">
        <v>939</v>
      </c>
      <c r="C42" s="195" t="s">
        <v>938</v>
      </c>
    </row>
    <row r="43" spans="1:3" ht="18.75" hidden="1" customHeight="1" thickBot="1" x14ac:dyDescent="0.3">
      <c r="A43" s="195" t="s">
        <v>630</v>
      </c>
      <c r="B43" s="196" t="s">
        <v>937</v>
      </c>
      <c r="C43" s="195" t="s">
        <v>936</v>
      </c>
    </row>
    <row r="44" spans="1:3" ht="18.75" hidden="1" customHeight="1" thickBot="1" x14ac:dyDescent="0.3">
      <c r="A44" s="195" t="s">
        <v>630</v>
      </c>
      <c r="B44" s="196" t="s">
        <v>935</v>
      </c>
      <c r="C44" s="195" t="s">
        <v>934</v>
      </c>
    </row>
    <row r="45" spans="1:3" ht="18.75" hidden="1" customHeight="1" thickBot="1" x14ac:dyDescent="0.3">
      <c r="A45" s="195" t="s">
        <v>630</v>
      </c>
      <c r="B45" s="196" t="s">
        <v>583</v>
      </c>
      <c r="C45" s="195" t="s">
        <v>582</v>
      </c>
    </row>
    <row r="46" spans="1:3" ht="18.75" hidden="1" customHeight="1" thickBot="1" x14ac:dyDescent="0.3">
      <c r="A46" s="195" t="s">
        <v>630</v>
      </c>
      <c r="B46" s="196" t="s">
        <v>581</v>
      </c>
      <c r="C46" s="195" t="s">
        <v>580</v>
      </c>
    </row>
    <row r="47" spans="1:3" ht="18.75" hidden="1" customHeight="1" thickBot="1" x14ac:dyDescent="0.3">
      <c r="A47" s="195" t="s">
        <v>630</v>
      </c>
      <c r="B47" s="196" t="s">
        <v>933</v>
      </c>
      <c r="C47" s="195" t="s">
        <v>932</v>
      </c>
    </row>
    <row r="48" spans="1:3" ht="18.75" hidden="1" customHeight="1" thickBot="1" x14ac:dyDescent="0.3">
      <c r="A48" s="195" t="s">
        <v>630</v>
      </c>
      <c r="B48" s="196" t="s">
        <v>931</v>
      </c>
      <c r="C48" s="195" t="s">
        <v>930</v>
      </c>
    </row>
    <row r="49" spans="1:3" ht="18.75" hidden="1" customHeight="1" thickBot="1" x14ac:dyDescent="0.3">
      <c r="A49" s="195" t="s">
        <v>630</v>
      </c>
      <c r="B49" s="196" t="s">
        <v>929</v>
      </c>
      <c r="C49" s="195" t="s">
        <v>928</v>
      </c>
    </row>
    <row r="50" spans="1:3" ht="18.75" hidden="1" customHeight="1" thickBot="1" x14ac:dyDescent="0.3">
      <c r="A50" s="195" t="s">
        <v>630</v>
      </c>
      <c r="B50" s="196" t="s">
        <v>927</v>
      </c>
      <c r="C50" s="195" t="s">
        <v>926</v>
      </c>
    </row>
    <row r="51" spans="1:3" ht="18.75" hidden="1" customHeight="1" thickBot="1" x14ac:dyDescent="0.3">
      <c r="A51" s="195" t="s">
        <v>630</v>
      </c>
      <c r="B51" s="196" t="s">
        <v>925</v>
      </c>
      <c r="C51" s="195" t="s">
        <v>924</v>
      </c>
    </row>
    <row r="52" spans="1:3" ht="18.75" hidden="1" customHeight="1" thickBot="1" x14ac:dyDescent="0.3">
      <c r="A52" s="195" t="s">
        <v>630</v>
      </c>
      <c r="B52" s="196" t="s">
        <v>923</v>
      </c>
      <c r="C52" s="195" t="s">
        <v>922</v>
      </c>
    </row>
    <row r="53" spans="1:3" ht="18.75" hidden="1" customHeight="1" thickBot="1" x14ac:dyDescent="0.3">
      <c r="A53" s="195" t="s">
        <v>630</v>
      </c>
      <c r="B53" s="196" t="s">
        <v>921</v>
      </c>
      <c r="C53" s="195" t="s">
        <v>920</v>
      </c>
    </row>
    <row r="54" spans="1:3" ht="18.75" hidden="1" customHeight="1" thickBot="1" x14ac:dyDescent="0.3">
      <c r="A54" s="195" t="s">
        <v>630</v>
      </c>
      <c r="B54" s="196" t="s">
        <v>919</v>
      </c>
      <c r="C54" s="195" t="s">
        <v>918</v>
      </c>
    </row>
    <row r="55" spans="1:3" ht="18.75" hidden="1" customHeight="1" thickBot="1" x14ac:dyDescent="0.3">
      <c r="A55" s="195" t="s">
        <v>630</v>
      </c>
      <c r="B55" s="196" t="s">
        <v>917</v>
      </c>
      <c r="C55" s="195" t="s">
        <v>916</v>
      </c>
    </row>
    <row r="56" spans="1:3" ht="18.75" hidden="1" customHeight="1" thickBot="1" x14ac:dyDescent="0.3">
      <c r="A56" s="195" t="s">
        <v>630</v>
      </c>
      <c r="B56" s="196" t="s">
        <v>915</v>
      </c>
      <c r="C56" s="195" t="s">
        <v>914</v>
      </c>
    </row>
    <row r="57" spans="1:3" ht="18.75" hidden="1" customHeight="1" thickBot="1" x14ac:dyDescent="0.3">
      <c r="A57" s="195" t="s">
        <v>630</v>
      </c>
      <c r="B57" s="196" t="s">
        <v>913</v>
      </c>
      <c r="C57" s="195" t="s">
        <v>912</v>
      </c>
    </row>
    <row r="58" spans="1:3" ht="18.75" hidden="1" customHeight="1" thickBot="1" x14ac:dyDescent="0.3">
      <c r="A58" s="195" t="s">
        <v>630</v>
      </c>
      <c r="B58" s="196" t="s">
        <v>911</v>
      </c>
      <c r="C58" s="195" t="s">
        <v>910</v>
      </c>
    </row>
    <row r="59" spans="1:3" ht="18.75" hidden="1" customHeight="1" thickBot="1" x14ac:dyDescent="0.3">
      <c r="A59" s="195" t="s">
        <v>630</v>
      </c>
      <c r="B59" s="196" t="s">
        <v>909</v>
      </c>
      <c r="C59" s="195" t="s">
        <v>908</v>
      </c>
    </row>
    <row r="60" spans="1:3" ht="18.75" hidden="1" customHeight="1" thickBot="1" x14ac:dyDescent="0.3">
      <c r="A60" s="195" t="s">
        <v>630</v>
      </c>
      <c r="B60" s="196" t="s">
        <v>907</v>
      </c>
      <c r="C60" s="195" t="s">
        <v>906</v>
      </c>
    </row>
    <row r="61" spans="1:3" ht="18.75" hidden="1" customHeight="1" thickBot="1" x14ac:dyDescent="0.3">
      <c r="A61" s="195" t="s">
        <v>630</v>
      </c>
      <c r="B61" s="196" t="s">
        <v>905</v>
      </c>
      <c r="C61" s="195" t="s">
        <v>904</v>
      </c>
    </row>
    <row r="62" spans="1:3" ht="18.75" hidden="1" customHeight="1" thickBot="1" x14ac:dyDescent="0.3">
      <c r="A62" s="195" t="s">
        <v>630</v>
      </c>
      <c r="B62" s="196" t="s">
        <v>903</v>
      </c>
      <c r="C62" s="195" t="s">
        <v>902</v>
      </c>
    </row>
    <row r="63" spans="1:3" ht="18.75" hidden="1" customHeight="1" thickBot="1" x14ac:dyDescent="0.3">
      <c r="A63" s="195" t="s">
        <v>630</v>
      </c>
      <c r="B63" s="196" t="s">
        <v>901</v>
      </c>
      <c r="C63" s="195" t="s">
        <v>900</v>
      </c>
    </row>
    <row r="64" spans="1:3" ht="18.75" hidden="1" customHeight="1" thickBot="1" x14ac:dyDescent="0.3">
      <c r="A64" s="195" t="s">
        <v>630</v>
      </c>
      <c r="B64" s="196" t="s">
        <v>899</v>
      </c>
      <c r="C64" s="195" t="s">
        <v>898</v>
      </c>
    </row>
    <row r="65" spans="1:3" ht="18.75" hidden="1" customHeight="1" thickBot="1" x14ac:dyDescent="0.3">
      <c r="A65" s="195" t="s">
        <v>630</v>
      </c>
      <c r="B65" s="196" t="s">
        <v>897</v>
      </c>
      <c r="C65" s="195" t="s">
        <v>896</v>
      </c>
    </row>
    <row r="66" spans="1:3" ht="18.75" hidden="1" customHeight="1" thickBot="1" x14ac:dyDescent="0.3">
      <c r="A66" s="195" t="s">
        <v>630</v>
      </c>
      <c r="B66" s="196" t="s">
        <v>895</v>
      </c>
      <c r="C66" s="195" t="s">
        <v>894</v>
      </c>
    </row>
    <row r="67" spans="1:3" ht="18.75" hidden="1" customHeight="1" thickBot="1" x14ac:dyDescent="0.3">
      <c r="A67" s="195" t="s">
        <v>630</v>
      </c>
      <c r="B67" s="196" t="s">
        <v>893</v>
      </c>
      <c r="C67" s="195" t="s">
        <v>892</v>
      </c>
    </row>
    <row r="68" spans="1:3" ht="18.75" hidden="1" customHeight="1" thickBot="1" x14ac:dyDescent="0.3">
      <c r="A68" s="195" t="s">
        <v>630</v>
      </c>
      <c r="B68" s="196" t="s">
        <v>891</v>
      </c>
      <c r="C68" s="195" t="s">
        <v>890</v>
      </c>
    </row>
    <row r="69" spans="1:3" ht="18.75" hidden="1" customHeight="1" thickBot="1" x14ac:dyDescent="0.3">
      <c r="A69" s="195" t="s">
        <v>630</v>
      </c>
      <c r="B69" s="196" t="s">
        <v>889</v>
      </c>
      <c r="C69" s="195" t="s">
        <v>888</v>
      </c>
    </row>
    <row r="70" spans="1:3" ht="18.75" hidden="1" customHeight="1" thickBot="1" x14ac:dyDescent="0.3">
      <c r="A70" s="195" t="s">
        <v>630</v>
      </c>
      <c r="B70" s="196" t="s">
        <v>887</v>
      </c>
      <c r="C70" s="195" t="s">
        <v>886</v>
      </c>
    </row>
    <row r="71" spans="1:3" ht="18.75" hidden="1" customHeight="1" thickBot="1" x14ac:dyDescent="0.3">
      <c r="A71" s="195" t="s">
        <v>630</v>
      </c>
      <c r="B71" s="196" t="s">
        <v>885</v>
      </c>
      <c r="C71" s="195" t="s">
        <v>884</v>
      </c>
    </row>
    <row r="72" spans="1:3" ht="18.75" hidden="1" customHeight="1" thickBot="1" x14ac:dyDescent="0.3">
      <c r="A72" s="195" t="s">
        <v>630</v>
      </c>
      <c r="B72" s="196" t="s">
        <v>883</v>
      </c>
      <c r="C72" s="195" t="s">
        <v>882</v>
      </c>
    </row>
    <row r="73" spans="1:3" ht="18.75" hidden="1" customHeight="1" thickBot="1" x14ac:dyDescent="0.3">
      <c r="A73" s="195" t="s">
        <v>630</v>
      </c>
      <c r="B73" s="196" t="s">
        <v>881</v>
      </c>
      <c r="C73" s="195" t="s">
        <v>880</v>
      </c>
    </row>
    <row r="74" spans="1:3" ht="18.75" hidden="1" customHeight="1" thickBot="1" x14ac:dyDescent="0.3">
      <c r="A74" s="195" t="s">
        <v>630</v>
      </c>
      <c r="B74" s="196" t="s">
        <v>879</v>
      </c>
      <c r="C74" s="195" t="s">
        <v>878</v>
      </c>
    </row>
    <row r="75" spans="1:3" ht="18.75" hidden="1" customHeight="1" thickBot="1" x14ac:dyDescent="0.3">
      <c r="A75" s="195" t="s">
        <v>630</v>
      </c>
      <c r="B75" s="196" t="s">
        <v>877</v>
      </c>
      <c r="C75" s="195" t="s">
        <v>876</v>
      </c>
    </row>
    <row r="76" spans="1:3" ht="18.75" hidden="1" customHeight="1" thickBot="1" x14ac:dyDescent="0.3">
      <c r="A76" s="195" t="s">
        <v>630</v>
      </c>
      <c r="B76" s="196" t="s">
        <v>875</v>
      </c>
      <c r="C76" s="195" t="s">
        <v>874</v>
      </c>
    </row>
    <row r="77" spans="1:3" ht="18.75" hidden="1" customHeight="1" thickBot="1" x14ac:dyDescent="0.3">
      <c r="A77" s="195" t="s">
        <v>630</v>
      </c>
      <c r="B77" s="196" t="s">
        <v>873</v>
      </c>
      <c r="C77" s="195" t="s">
        <v>872</v>
      </c>
    </row>
    <row r="78" spans="1:3" ht="18.75" hidden="1" customHeight="1" thickBot="1" x14ac:dyDescent="0.3">
      <c r="A78" s="195" t="s">
        <v>630</v>
      </c>
      <c r="B78" s="196" t="s">
        <v>871</v>
      </c>
      <c r="C78" s="195" t="s">
        <v>870</v>
      </c>
    </row>
    <row r="79" spans="1:3" ht="18.75" hidden="1" customHeight="1" thickBot="1" x14ac:dyDescent="0.3">
      <c r="A79" s="195" t="s">
        <v>630</v>
      </c>
      <c r="B79" s="196" t="s">
        <v>869</v>
      </c>
      <c r="C79" s="195" t="s">
        <v>868</v>
      </c>
    </row>
    <row r="80" spans="1:3" ht="18.75" hidden="1" customHeight="1" thickBot="1" x14ac:dyDescent="0.3">
      <c r="A80" s="195" t="s">
        <v>630</v>
      </c>
      <c r="B80" s="744" t="s">
        <v>1572</v>
      </c>
      <c r="C80" s="745" t="s">
        <v>1573</v>
      </c>
    </row>
    <row r="81" spans="1:3" ht="18.75" hidden="1" customHeight="1" thickBot="1" x14ac:dyDescent="0.3">
      <c r="A81" s="195" t="s">
        <v>630</v>
      </c>
      <c r="B81" s="744" t="s">
        <v>1574</v>
      </c>
      <c r="C81" s="745" t="s">
        <v>1575</v>
      </c>
    </row>
    <row r="82" spans="1:3" ht="18.75" hidden="1" customHeight="1" thickBot="1" x14ac:dyDescent="0.3">
      <c r="A82" s="195" t="s">
        <v>630</v>
      </c>
      <c r="B82" s="744" t="s">
        <v>1576</v>
      </c>
      <c r="C82" s="745" t="s">
        <v>1577</v>
      </c>
    </row>
    <row r="83" spans="1:3" ht="18.75" hidden="1" customHeight="1" thickBot="1" x14ac:dyDescent="0.3">
      <c r="A83" s="195" t="s">
        <v>630</v>
      </c>
      <c r="B83" s="744" t="s">
        <v>1578</v>
      </c>
      <c r="C83" s="745" t="s">
        <v>1579</v>
      </c>
    </row>
    <row r="84" spans="1:3" ht="18.75" hidden="1" customHeight="1" thickBot="1" x14ac:dyDescent="0.3">
      <c r="A84" s="195"/>
      <c r="B84" s="196"/>
      <c r="C84" s="195"/>
    </row>
    <row r="85" spans="1:3" ht="18.75" hidden="1" customHeight="1" thickBot="1" x14ac:dyDescent="0.3">
      <c r="A85" s="195"/>
      <c r="B85" s="196"/>
      <c r="C85" s="195"/>
    </row>
    <row r="86" spans="1:3" ht="18.75" hidden="1" customHeight="1" thickBot="1" x14ac:dyDescent="0.3">
      <c r="A86" s="195"/>
      <c r="B86" s="196"/>
      <c r="C86" s="195"/>
    </row>
    <row r="87" spans="1:3" ht="18.75" hidden="1" customHeight="1" thickBot="1" x14ac:dyDescent="0.3">
      <c r="A87" s="195" t="s">
        <v>630</v>
      </c>
      <c r="B87" s="196" t="s">
        <v>867</v>
      </c>
      <c r="C87" s="195" t="s">
        <v>866</v>
      </c>
    </row>
    <row r="88" spans="1:3" ht="18.75" hidden="1" customHeight="1" thickBot="1" x14ac:dyDescent="0.3">
      <c r="A88" s="195" t="s">
        <v>630</v>
      </c>
      <c r="B88" s="196" t="s">
        <v>865</v>
      </c>
      <c r="C88" s="195" t="s">
        <v>864</v>
      </c>
    </row>
    <row r="89" spans="1:3" ht="18.75" hidden="1" customHeight="1" thickBot="1" x14ac:dyDescent="0.3">
      <c r="A89" s="195" t="s">
        <v>630</v>
      </c>
      <c r="B89" s="196" t="s">
        <v>863</v>
      </c>
      <c r="C89" s="195" t="s">
        <v>862</v>
      </c>
    </row>
    <row r="90" spans="1:3" ht="18.75" hidden="1" customHeight="1" thickBot="1" x14ac:dyDescent="0.3">
      <c r="A90" s="195" t="s">
        <v>630</v>
      </c>
      <c r="B90" s="196" t="s">
        <v>861</v>
      </c>
      <c r="C90" s="195" t="s">
        <v>860</v>
      </c>
    </row>
    <row r="91" spans="1:3" ht="18.75" hidden="1" customHeight="1" thickBot="1" x14ac:dyDescent="0.3">
      <c r="A91" s="195" t="s">
        <v>630</v>
      </c>
      <c r="B91" s="196" t="s">
        <v>859</v>
      </c>
      <c r="C91" s="195" t="s">
        <v>858</v>
      </c>
    </row>
    <row r="92" spans="1:3" ht="18.75" hidden="1" customHeight="1" thickBot="1" x14ac:dyDescent="0.3">
      <c r="A92" s="195" t="s">
        <v>630</v>
      </c>
      <c r="B92" s="196" t="s">
        <v>857</v>
      </c>
      <c r="C92" s="195" t="s">
        <v>856</v>
      </c>
    </row>
    <row r="93" spans="1:3" ht="18.75" hidden="1" customHeight="1" thickBot="1" x14ac:dyDescent="0.3">
      <c r="A93" s="195" t="s">
        <v>630</v>
      </c>
      <c r="B93" s="196" t="s">
        <v>855</v>
      </c>
      <c r="C93" s="195" t="s">
        <v>854</v>
      </c>
    </row>
    <row r="94" spans="1:3" ht="18.75" hidden="1" customHeight="1" thickBot="1" x14ac:dyDescent="0.3">
      <c r="A94" s="195" t="s">
        <v>630</v>
      </c>
      <c r="B94" s="196" t="s">
        <v>853</v>
      </c>
      <c r="C94" s="195" t="s">
        <v>852</v>
      </c>
    </row>
    <row r="95" spans="1:3" ht="18.75" hidden="1" customHeight="1" thickBot="1" x14ac:dyDescent="0.3">
      <c r="A95" s="195" t="s">
        <v>630</v>
      </c>
      <c r="B95" s="196" t="s">
        <v>851</v>
      </c>
      <c r="C95" s="195" t="s">
        <v>850</v>
      </c>
    </row>
    <row r="96" spans="1:3" ht="18.75" hidden="1" customHeight="1" thickBot="1" x14ac:dyDescent="0.3">
      <c r="A96" s="195" t="s">
        <v>630</v>
      </c>
      <c r="B96" s="196" t="s">
        <v>849</v>
      </c>
      <c r="C96" s="195" t="s">
        <v>848</v>
      </c>
    </row>
    <row r="97" spans="1:3" ht="18.75" hidden="1" customHeight="1" thickBot="1" x14ac:dyDescent="0.3">
      <c r="A97" s="195" t="s">
        <v>630</v>
      </c>
      <c r="B97" s="196" t="s">
        <v>847</v>
      </c>
      <c r="C97" s="195" t="s">
        <v>846</v>
      </c>
    </row>
    <row r="98" spans="1:3" ht="18.75" hidden="1" customHeight="1" thickBot="1" x14ac:dyDescent="0.3">
      <c r="A98" s="195" t="s">
        <v>630</v>
      </c>
      <c r="B98" s="196" t="s">
        <v>845</v>
      </c>
      <c r="C98" s="195" t="s">
        <v>837</v>
      </c>
    </row>
    <row r="99" spans="1:3" ht="18.75" hidden="1" customHeight="1" thickBot="1" x14ac:dyDescent="0.3">
      <c r="A99" s="195" t="s">
        <v>630</v>
      </c>
      <c r="B99" s="196" t="s">
        <v>844</v>
      </c>
      <c r="C99" s="195" t="s">
        <v>843</v>
      </c>
    </row>
    <row r="100" spans="1:3" ht="18.75" hidden="1" customHeight="1" thickBot="1" x14ac:dyDescent="0.3">
      <c r="A100" s="195" t="s">
        <v>630</v>
      </c>
      <c r="B100" s="196" t="s">
        <v>842</v>
      </c>
      <c r="C100" s="195" t="s">
        <v>841</v>
      </c>
    </row>
    <row r="101" spans="1:3" ht="18.75" hidden="1" customHeight="1" thickBot="1" x14ac:dyDescent="0.3">
      <c r="A101" s="195" t="s">
        <v>630</v>
      </c>
      <c r="B101" s="196" t="s">
        <v>840</v>
      </c>
      <c r="C101" s="195" t="s">
        <v>839</v>
      </c>
    </row>
    <row r="102" spans="1:3" ht="18.75" hidden="1" customHeight="1" thickBot="1" x14ac:dyDescent="0.3">
      <c r="A102" s="195" t="s">
        <v>630</v>
      </c>
      <c r="B102" s="196" t="s">
        <v>838</v>
      </c>
      <c r="C102" s="195" t="s">
        <v>837</v>
      </c>
    </row>
    <row r="103" spans="1:3" ht="18.75" hidden="1" customHeight="1" thickBot="1" x14ac:dyDescent="0.3">
      <c r="A103" s="195" t="s">
        <v>630</v>
      </c>
      <c r="B103" s="196" t="s">
        <v>555</v>
      </c>
      <c r="C103" s="195" t="s">
        <v>836</v>
      </c>
    </row>
    <row r="104" spans="1:3" ht="18.75" hidden="1" customHeight="1" thickBot="1" x14ac:dyDescent="0.3">
      <c r="A104" s="195" t="s">
        <v>630</v>
      </c>
      <c r="B104" s="196" t="s">
        <v>835</v>
      </c>
      <c r="C104" s="195" t="s">
        <v>834</v>
      </c>
    </row>
    <row r="105" spans="1:3" ht="18.75" hidden="1" customHeight="1" thickBot="1" x14ac:dyDescent="0.3">
      <c r="A105" s="195" t="s">
        <v>630</v>
      </c>
      <c r="B105" s="196" t="s">
        <v>833</v>
      </c>
      <c r="C105" s="195" t="s">
        <v>832</v>
      </c>
    </row>
    <row r="106" spans="1:3" ht="18.75" hidden="1" customHeight="1" thickBot="1" x14ac:dyDescent="0.3">
      <c r="A106" s="195" t="s">
        <v>630</v>
      </c>
      <c r="B106" s="196" t="s">
        <v>831</v>
      </c>
      <c r="C106" s="195" t="s">
        <v>830</v>
      </c>
    </row>
    <row r="107" spans="1:3" ht="18.75" hidden="1" customHeight="1" thickBot="1" x14ac:dyDescent="0.3">
      <c r="A107" s="195" t="s">
        <v>630</v>
      </c>
      <c r="B107" s="196" t="s">
        <v>829</v>
      </c>
      <c r="C107" s="195" t="s">
        <v>828</v>
      </c>
    </row>
    <row r="108" spans="1:3" ht="18.75" hidden="1" customHeight="1" thickBot="1" x14ac:dyDescent="0.3">
      <c r="A108" s="195" t="s">
        <v>630</v>
      </c>
      <c r="B108" s="196" t="s">
        <v>827</v>
      </c>
      <c r="C108" s="195" t="s">
        <v>826</v>
      </c>
    </row>
    <row r="109" spans="1:3" ht="18.75" hidden="1" customHeight="1" thickBot="1" x14ac:dyDescent="0.3">
      <c r="A109" s="195" t="s">
        <v>630</v>
      </c>
      <c r="B109" s="196" t="s">
        <v>825</v>
      </c>
      <c r="C109" s="195" t="s">
        <v>824</v>
      </c>
    </row>
    <row r="110" spans="1:3" ht="18.75" hidden="1" customHeight="1" thickBot="1" x14ac:dyDescent="0.3">
      <c r="A110" s="195" t="s">
        <v>630</v>
      </c>
      <c r="B110" s="196" t="s">
        <v>823</v>
      </c>
      <c r="C110" s="195" t="s">
        <v>822</v>
      </c>
    </row>
    <row r="111" spans="1:3" ht="18.75" hidden="1" customHeight="1" thickBot="1" x14ac:dyDescent="0.3">
      <c r="A111" s="195" t="s">
        <v>630</v>
      </c>
      <c r="B111" s="196" t="s">
        <v>821</v>
      </c>
      <c r="C111" s="195" t="s">
        <v>820</v>
      </c>
    </row>
    <row r="112" spans="1:3" ht="18.75" hidden="1" customHeight="1" thickBot="1" x14ac:dyDescent="0.3">
      <c r="A112" s="195" t="s">
        <v>630</v>
      </c>
      <c r="B112" s="196" t="s">
        <v>819</v>
      </c>
      <c r="C112" s="195" t="s">
        <v>818</v>
      </c>
    </row>
    <row r="113" spans="1:3" ht="18.75" hidden="1" customHeight="1" thickBot="1" x14ac:dyDescent="0.3">
      <c r="A113" s="195" t="s">
        <v>630</v>
      </c>
      <c r="B113" s="196" t="s">
        <v>817</v>
      </c>
      <c r="C113" s="195" t="s">
        <v>816</v>
      </c>
    </row>
    <row r="114" spans="1:3" ht="18.75" hidden="1" customHeight="1" thickBot="1" x14ac:dyDescent="0.3">
      <c r="A114" s="195" t="s">
        <v>630</v>
      </c>
      <c r="B114" s="196" t="s">
        <v>815</v>
      </c>
      <c r="C114" s="195" t="s">
        <v>814</v>
      </c>
    </row>
    <row r="115" spans="1:3" ht="18.75" hidden="1" customHeight="1" thickBot="1" x14ac:dyDescent="0.3">
      <c r="A115" s="195" t="s">
        <v>630</v>
      </c>
      <c r="B115" s="196" t="s">
        <v>813</v>
      </c>
      <c r="C115" s="195" t="s">
        <v>812</v>
      </c>
    </row>
    <row r="116" spans="1:3" ht="18.75" hidden="1" customHeight="1" thickBot="1" x14ac:dyDescent="0.3">
      <c r="A116" s="195" t="s">
        <v>630</v>
      </c>
      <c r="B116" s="196" t="s">
        <v>811</v>
      </c>
      <c r="C116" s="195" t="s">
        <v>810</v>
      </c>
    </row>
    <row r="117" spans="1:3" ht="18.75" hidden="1" customHeight="1" thickBot="1" x14ac:dyDescent="0.3">
      <c r="A117" s="195" t="s">
        <v>630</v>
      </c>
      <c r="B117" s="196" t="s">
        <v>809</v>
      </c>
      <c r="C117" s="195" t="s">
        <v>808</v>
      </c>
    </row>
    <row r="118" spans="1:3" ht="18.75" hidden="1" customHeight="1" thickBot="1" x14ac:dyDescent="0.3">
      <c r="A118" s="195" t="s">
        <v>630</v>
      </c>
      <c r="B118" s="196" t="s">
        <v>807</v>
      </c>
      <c r="C118" s="195" t="s">
        <v>806</v>
      </c>
    </row>
    <row r="119" spans="1:3" ht="18.75" hidden="1" customHeight="1" thickBot="1" x14ac:dyDescent="0.3">
      <c r="A119" s="195" t="s">
        <v>630</v>
      </c>
      <c r="B119" s="196" t="s">
        <v>805</v>
      </c>
      <c r="C119" s="195" t="s">
        <v>804</v>
      </c>
    </row>
    <row r="120" spans="1:3" ht="18.75" hidden="1" customHeight="1" thickBot="1" x14ac:dyDescent="0.3">
      <c r="A120" s="195" t="s">
        <v>630</v>
      </c>
      <c r="B120" s="196" t="s">
        <v>803</v>
      </c>
      <c r="C120" s="195" t="s">
        <v>802</v>
      </c>
    </row>
    <row r="121" spans="1:3" ht="18.75" hidden="1" customHeight="1" thickBot="1" x14ac:dyDescent="0.3">
      <c r="A121" s="195" t="s">
        <v>630</v>
      </c>
      <c r="B121" s="196" t="s">
        <v>801</v>
      </c>
      <c r="C121" s="195" t="s">
        <v>550</v>
      </c>
    </row>
    <row r="122" spans="1:3" ht="18.75" hidden="1" customHeight="1" thickBot="1" x14ac:dyDescent="0.3">
      <c r="A122" s="195" t="s">
        <v>630</v>
      </c>
      <c r="B122" s="196" t="s">
        <v>800</v>
      </c>
      <c r="C122" s="195" t="s">
        <v>799</v>
      </c>
    </row>
    <row r="123" spans="1:3" ht="18.75" hidden="1" customHeight="1" thickBot="1" x14ac:dyDescent="0.3">
      <c r="A123" s="195" t="s">
        <v>630</v>
      </c>
      <c r="B123" s="196" t="s">
        <v>798</v>
      </c>
      <c r="C123" s="195" t="s">
        <v>797</v>
      </c>
    </row>
    <row r="124" spans="1:3" ht="18.75" hidden="1" customHeight="1" thickBot="1" x14ac:dyDescent="0.3">
      <c r="A124" s="195" t="s">
        <v>630</v>
      </c>
      <c r="B124" s="196" t="s">
        <v>796</v>
      </c>
      <c r="C124" s="195" t="s">
        <v>795</v>
      </c>
    </row>
    <row r="125" spans="1:3" ht="18.75" hidden="1" customHeight="1" thickBot="1" x14ac:dyDescent="0.3">
      <c r="A125" s="195" t="s">
        <v>630</v>
      </c>
      <c r="B125" s="196" t="s">
        <v>794</v>
      </c>
      <c r="C125" s="195" t="s">
        <v>793</v>
      </c>
    </row>
    <row r="126" spans="1:3" ht="18.75" hidden="1" customHeight="1" thickBot="1" x14ac:dyDescent="0.3">
      <c r="A126" s="195" t="s">
        <v>630</v>
      </c>
      <c r="B126" s="196" t="s">
        <v>792</v>
      </c>
      <c r="C126" s="195" t="s">
        <v>791</v>
      </c>
    </row>
    <row r="127" spans="1:3" ht="18.75" hidden="1" customHeight="1" thickBot="1" x14ac:dyDescent="0.3">
      <c r="A127" s="195" t="s">
        <v>630</v>
      </c>
      <c r="B127" s="196" t="s">
        <v>790</v>
      </c>
      <c r="C127" s="195" t="s">
        <v>789</v>
      </c>
    </row>
    <row r="128" spans="1:3" ht="18.75" hidden="1" customHeight="1" thickBot="1" x14ac:dyDescent="0.3">
      <c r="A128" s="195" t="s">
        <v>630</v>
      </c>
      <c r="B128" s="196" t="s">
        <v>788</v>
      </c>
      <c r="C128" s="195" t="s">
        <v>787</v>
      </c>
    </row>
    <row r="129" spans="1:3" ht="18.75" hidden="1" customHeight="1" thickBot="1" x14ac:dyDescent="0.3">
      <c r="A129" s="195" t="s">
        <v>630</v>
      </c>
      <c r="B129" s="196" t="s">
        <v>786</v>
      </c>
      <c r="C129" s="195" t="s">
        <v>785</v>
      </c>
    </row>
    <row r="130" spans="1:3" ht="18.75" hidden="1" customHeight="1" thickBot="1" x14ac:dyDescent="0.3">
      <c r="A130" s="195" t="s">
        <v>630</v>
      </c>
      <c r="B130" s="196" t="s">
        <v>784</v>
      </c>
      <c r="C130" s="195" t="s">
        <v>783</v>
      </c>
    </row>
    <row r="131" spans="1:3" ht="18.75" hidden="1" customHeight="1" thickBot="1" x14ac:dyDescent="0.3">
      <c r="A131" s="195" t="s">
        <v>630</v>
      </c>
      <c r="B131" s="196" t="s">
        <v>782</v>
      </c>
      <c r="C131" s="195" t="s">
        <v>781</v>
      </c>
    </row>
    <row r="132" spans="1:3" ht="18.75" hidden="1" customHeight="1" thickBot="1" x14ac:dyDescent="0.3">
      <c r="A132" s="195" t="s">
        <v>630</v>
      </c>
      <c r="B132" s="196" t="s">
        <v>780</v>
      </c>
      <c r="C132" s="195" t="s">
        <v>779</v>
      </c>
    </row>
    <row r="133" spans="1:3" ht="18.75" hidden="1" customHeight="1" thickBot="1" x14ac:dyDescent="0.3">
      <c r="A133" s="195" t="s">
        <v>630</v>
      </c>
      <c r="B133" s="196" t="s">
        <v>778</v>
      </c>
      <c r="C133" s="195" t="s">
        <v>777</v>
      </c>
    </row>
    <row r="134" spans="1:3" ht="18.75" hidden="1" customHeight="1" thickBot="1" x14ac:dyDescent="0.3">
      <c r="A134" s="195" t="s">
        <v>630</v>
      </c>
      <c r="B134" s="196" t="s">
        <v>776</v>
      </c>
      <c r="C134" s="195" t="s">
        <v>775</v>
      </c>
    </row>
    <row r="135" spans="1:3" ht="18.75" hidden="1" customHeight="1" thickBot="1" x14ac:dyDescent="0.3">
      <c r="A135" s="195" t="s">
        <v>630</v>
      </c>
      <c r="B135" s="196" t="s">
        <v>774</v>
      </c>
      <c r="C135" s="195" t="s">
        <v>773</v>
      </c>
    </row>
    <row r="136" spans="1:3" ht="18.75" hidden="1" customHeight="1" thickBot="1" x14ac:dyDescent="0.3">
      <c r="A136" s="195" t="s">
        <v>630</v>
      </c>
      <c r="B136" s="196" t="s">
        <v>772</v>
      </c>
      <c r="C136" s="195" t="s">
        <v>771</v>
      </c>
    </row>
    <row r="137" spans="1:3" ht="18.75" hidden="1" customHeight="1" thickBot="1" x14ac:dyDescent="0.3">
      <c r="A137" s="195" t="s">
        <v>630</v>
      </c>
      <c r="B137" s="196" t="s">
        <v>770</v>
      </c>
      <c r="C137" s="195" t="s">
        <v>769</v>
      </c>
    </row>
    <row r="138" spans="1:3" ht="18.75" hidden="1" customHeight="1" thickBot="1" x14ac:dyDescent="0.3">
      <c r="A138" s="195" t="s">
        <v>630</v>
      </c>
      <c r="B138" s="196" t="s">
        <v>768</v>
      </c>
      <c r="C138" s="195" t="s">
        <v>767</v>
      </c>
    </row>
    <row r="139" spans="1:3" ht="18.75" hidden="1" customHeight="1" thickBot="1" x14ac:dyDescent="0.3">
      <c r="A139" s="195" t="s">
        <v>630</v>
      </c>
      <c r="B139" s="196" t="s">
        <v>766</v>
      </c>
      <c r="C139" s="195" t="s">
        <v>765</v>
      </c>
    </row>
    <row r="140" spans="1:3" ht="18.75" hidden="1" customHeight="1" thickBot="1" x14ac:dyDescent="0.3">
      <c r="A140" s="195" t="s">
        <v>630</v>
      </c>
      <c r="B140" s="196" t="s">
        <v>764</v>
      </c>
      <c r="C140" s="195" t="s">
        <v>763</v>
      </c>
    </row>
    <row r="141" spans="1:3" ht="18.75" hidden="1" customHeight="1" thickBot="1" x14ac:dyDescent="0.3">
      <c r="A141" s="195" t="s">
        <v>630</v>
      </c>
      <c r="B141" s="196" t="s">
        <v>762</v>
      </c>
      <c r="C141" s="195" t="s">
        <v>761</v>
      </c>
    </row>
    <row r="142" spans="1:3" ht="18.75" hidden="1" customHeight="1" thickBot="1" x14ac:dyDescent="0.3">
      <c r="A142" s="195" t="s">
        <v>630</v>
      </c>
      <c r="B142" s="196" t="s">
        <v>760</v>
      </c>
      <c r="C142" s="195" t="s">
        <v>759</v>
      </c>
    </row>
    <row r="143" spans="1:3" ht="18.75" hidden="1" customHeight="1" thickBot="1" x14ac:dyDescent="0.3">
      <c r="A143" s="195" t="s">
        <v>630</v>
      </c>
      <c r="B143" s="196" t="s">
        <v>758</v>
      </c>
      <c r="C143" s="195" t="s">
        <v>757</v>
      </c>
    </row>
    <row r="144" spans="1:3" ht="18.75" hidden="1" customHeight="1" thickBot="1" x14ac:dyDescent="0.3">
      <c r="A144" s="195" t="s">
        <v>630</v>
      </c>
      <c r="B144" s="196" t="s">
        <v>756</v>
      </c>
      <c r="C144" s="195" t="s">
        <v>755</v>
      </c>
    </row>
    <row r="145" spans="1:3" ht="18.75" hidden="1" customHeight="1" thickBot="1" x14ac:dyDescent="0.3">
      <c r="A145" s="195" t="s">
        <v>630</v>
      </c>
      <c r="B145" s="196" t="s">
        <v>754</v>
      </c>
      <c r="C145" s="195" t="s">
        <v>753</v>
      </c>
    </row>
    <row r="146" spans="1:3" ht="18.75" hidden="1" customHeight="1" thickBot="1" x14ac:dyDescent="0.3">
      <c r="A146" s="195" t="s">
        <v>630</v>
      </c>
      <c r="B146" s="196" t="s">
        <v>752</v>
      </c>
      <c r="C146" s="195" t="s">
        <v>751</v>
      </c>
    </row>
    <row r="147" spans="1:3" ht="18.75" hidden="1" customHeight="1" thickBot="1" x14ac:dyDescent="0.3">
      <c r="A147" s="195" t="s">
        <v>630</v>
      </c>
      <c r="B147" s="196" t="s">
        <v>750</v>
      </c>
      <c r="C147" s="195" t="s">
        <v>749</v>
      </c>
    </row>
    <row r="148" spans="1:3" ht="18.75" hidden="1" customHeight="1" thickBot="1" x14ac:dyDescent="0.3">
      <c r="A148" s="195" t="s">
        <v>630</v>
      </c>
      <c r="B148" s="196" t="s">
        <v>748</v>
      </c>
      <c r="C148" s="195" t="s">
        <v>747</v>
      </c>
    </row>
    <row r="149" spans="1:3" ht="18.75" hidden="1" customHeight="1" thickBot="1" x14ac:dyDescent="0.3">
      <c r="A149" s="195" t="s">
        <v>630</v>
      </c>
      <c r="B149" s="196" t="s">
        <v>746</v>
      </c>
      <c r="C149" s="195" t="s">
        <v>745</v>
      </c>
    </row>
    <row r="150" spans="1:3" ht="18.75" hidden="1" customHeight="1" thickBot="1" x14ac:dyDescent="0.3">
      <c r="A150" s="195" t="s">
        <v>630</v>
      </c>
      <c r="B150" s="196" t="s">
        <v>744</v>
      </c>
      <c r="C150" s="195" t="s">
        <v>743</v>
      </c>
    </row>
    <row r="151" spans="1:3" ht="18.75" hidden="1" customHeight="1" thickBot="1" x14ac:dyDescent="0.3">
      <c r="A151" s="195" t="s">
        <v>630</v>
      </c>
      <c r="B151" s="196" t="s">
        <v>742</v>
      </c>
      <c r="C151" s="195" t="s">
        <v>741</v>
      </c>
    </row>
    <row r="152" spans="1:3" ht="18.75" hidden="1" customHeight="1" thickBot="1" x14ac:dyDescent="0.3">
      <c r="A152" s="195" t="s">
        <v>630</v>
      </c>
      <c r="B152" s="196" t="s">
        <v>740</v>
      </c>
      <c r="C152" s="195" t="s">
        <v>739</v>
      </c>
    </row>
    <row r="153" spans="1:3" ht="18.75" hidden="1" customHeight="1" thickBot="1" x14ac:dyDescent="0.3">
      <c r="A153" s="195" t="s">
        <v>630</v>
      </c>
      <c r="B153" s="196" t="s">
        <v>738</v>
      </c>
      <c r="C153" s="195" t="s">
        <v>737</v>
      </c>
    </row>
    <row r="154" spans="1:3" ht="18.75" hidden="1" customHeight="1" thickBot="1" x14ac:dyDescent="0.3">
      <c r="A154" s="195" t="s">
        <v>630</v>
      </c>
      <c r="B154" s="196" t="s">
        <v>736</v>
      </c>
      <c r="C154" s="195" t="s">
        <v>735</v>
      </c>
    </row>
    <row r="155" spans="1:3" ht="18.75" hidden="1" customHeight="1" thickBot="1" x14ac:dyDescent="0.3">
      <c r="A155" s="195" t="s">
        <v>630</v>
      </c>
      <c r="B155" s="196" t="s">
        <v>734</v>
      </c>
      <c r="C155" s="195" t="s">
        <v>733</v>
      </c>
    </row>
    <row r="156" spans="1:3" ht="18.75" hidden="1" customHeight="1" thickBot="1" x14ac:dyDescent="0.3">
      <c r="A156" s="195" t="s">
        <v>630</v>
      </c>
      <c r="B156" s="196" t="s">
        <v>732</v>
      </c>
      <c r="C156" s="195" t="s">
        <v>731</v>
      </c>
    </row>
    <row r="157" spans="1:3" ht="18.75" hidden="1" customHeight="1" thickBot="1" x14ac:dyDescent="0.3">
      <c r="A157" s="195" t="s">
        <v>630</v>
      </c>
      <c r="B157" s="196" t="s">
        <v>730</v>
      </c>
      <c r="C157" s="195" t="s">
        <v>729</v>
      </c>
    </row>
    <row r="158" spans="1:3" ht="18.75" hidden="1" customHeight="1" thickBot="1" x14ac:dyDescent="0.3">
      <c r="A158" s="195" t="s">
        <v>630</v>
      </c>
      <c r="B158" s="196" t="s">
        <v>728</v>
      </c>
      <c r="C158" s="195" t="s">
        <v>727</v>
      </c>
    </row>
    <row r="159" spans="1:3" ht="18.75" hidden="1" customHeight="1" thickBot="1" x14ac:dyDescent="0.3">
      <c r="A159" s="195" t="s">
        <v>630</v>
      </c>
      <c r="B159" s="196" t="s">
        <v>726</v>
      </c>
      <c r="C159" s="195" t="s">
        <v>725</v>
      </c>
    </row>
    <row r="160" spans="1:3" ht="18.75" hidden="1" customHeight="1" thickBot="1" x14ac:dyDescent="0.3">
      <c r="A160" s="195" t="s">
        <v>630</v>
      </c>
      <c r="B160" s="196" t="s">
        <v>724</v>
      </c>
      <c r="C160" s="195" t="s">
        <v>723</v>
      </c>
    </row>
    <row r="161" spans="1:3" ht="18.75" hidden="1" customHeight="1" thickBot="1" x14ac:dyDescent="0.3">
      <c r="A161" s="195" t="s">
        <v>630</v>
      </c>
      <c r="B161" s="196" t="s">
        <v>722</v>
      </c>
      <c r="C161" s="195" t="s">
        <v>721</v>
      </c>
    </row>
    <row r="162" spans="1:3" ht="18.75" hidden="1" customHeight="1" thickBot="1" x14ac:dyDescent="0.3">
      <c r="A162" s="195" t="s">
        <v>630</v>
      </c>
      <c r="B162" s="196" t="s">
        <v>720</v>
      </c>
      <c r="C162" s="195" t="s">
        <v>719</v>
      </c>
    </row>
    <row r="163" spans="1:3" ht="18.75" hidden="1" customHeight="1" thickBot="1" x14ac:dyDescent="0.3">
      <c r="A163" s="195" t="s">
        <v>630</v>
      </c>
      <c r="B163" s="196" t="s">
        <v>718</v>
      </c>
      <c r="C163" s="195" t="s">
        <v>717</v>
      </c>
    </row>
    <row r="164" spans="1:3" ht="18.75" hidden="1" customHeight="1" thickBot="1" x14ac:dyDescent="0.3">
      <c r="A164" s="195" t="s">
        <v>630</v>
      </c>
      <c r="B164" s="196" t="s">
        <v>716</v>
      </c>
      <c r="C164" s="195" t="s">
        <v>715</v>
      </c>
    </row>
    <row r="165" spans="1:3" ht="18.75" hidden="1" customHeight="1" thickBot="1" x14ac:dyDescent="0.3">
      <c r="A165" s="195" t="s">
        <v>630</v>
      </c>
      <c r="B165" s="196" t="s">
        <v>714</v>
      </c>
      <c r="C165" s="195" t="s">
        <v>713</v>
      </c>
    </row>
    <row r="166" spans="1:3" ht="18.75" hidden="1" customHeight="1" thickBot="1" x14ac:dyDescent="0.3">
      <c r="A166" s="195" t="s">
        <v>630</v>
      </c>
      <c r="B166" s="196" t="s">
        <v>712</v>
      </c>
      <c r="C166" s="195" t="s">
        <v>711</v>
      </c>
    </row>
    <row r="167" spans="1:3" ht="18.75" hidden="1" customHeight="1" thickBot="1" x14ac:dyDescent="0.3">
      <c r="A167" s="195" t="s">
        <v>630</v>
      </c>
      <c r="B167" s="196" t="s">
        <v>710</v>
      </c>
      <c r="C167" s="195" t="s">
        <v>709</v>
      </c>
    </row>
    <row r="168" spans="1:3" ht="18.75" hidden="1" customHeight="1" thickBot="1" x14ac:dyDescent="0.3">
      <c r="A168" s="195" t="s">
        <v>630</v>
      </c>
      <c r="B168" s="196" t="s">
        <v>708</v>
      </c>
      <c r="C168" s="195" t="s">
        <v>707</v>
      </c>
    </row>
    <row r="169" spans="1:3" ht="18.75" hidden="1" customHeight="1" thickBot="1" x14ac:dyDescent="0.3">
      <c r="A169" s="195" t="s">
        <v>630</v>
      </c>
      <c r="B169" s="196" t="s">
        <v>706</v>
      </c>
      <c r="C169" s="195" t="s">
        <v>705</v>
      </c>
    </row>
    <row r="170" spans="1:3" ht="18.75" hidden="1" customHeight="1" thickBot="1" x14ac:dyDescent="0.3">
      <c r="A170" s="195" t="s">
        <v>630</v>
      </c>
      <c r="B170" s="196" t="s">
        <v>704</v>
      </c>
      <c r="C170" s="195" t="s">
        <v>703</v>
      </c>
    </row>
    <row r="171" spans="1:3" ht="18.75" hidden="1" customHeight="1" thickBot="1" x14ac:dyDescent="0.3">
      <c r="A171" s="195" t="s">
        <v>630</v>
      </c>
      <c r="B171" s="196" t="s">
        <v>702</v>
      </c>
      <c r="C171" s="195" t="s">
        <v>701</v>
      </c>
    </row>
    <row r="172" spans="1:3" ht="18.75" hidden="1" customHeight="1" thickBot="1" x14ac:dyDescent="0.3">
      <c r="A172" s="195" t="s">
        <v>630</v>
      </c>
      <c r="B172" s="196" t="s">
        <v>700</v>
      </c>
      <c r="C172" s="195" t="s">
        <v>699</v>
      </c>
    </row>
    <row r="173" spans="1:3" ht="18.75" hidden="1" customHeight="1" thickBot="1" x14ac:dyDescent="0.3">
      <c r="A173" s="195" t="s">
        <v>630</v>
      </c>
      <c r="B173" s="196" t="s">
        <v>698</v>
      </c>
      <c r="C173" s="195" t="s">
        <v>697</v>
      </c>
    </row>
    <row r="174" spans="1:3" ht="18.75" hidden="1" customHeight="1" thickBot="1" x14ac:dyDescent="0.3">
      <c r="A174" s="195" t="s">
        <v>630</v>
      </c>
      <c r="B174" s="196" t="s">
        <v>696</v>
      </c>
      <c r="C174" s="195" t="s">
        <v>695</v>
      </c>
    </row>
    <row r="175" spans="1:3" ht="18.75" hidden="1" customHeight="1" thickBot="1" x14ac:dyDescent="0.3">
      <c r="A175" s="195" t="s">
        <v>630</v>
      </c>
      <c r="B175" s="196" t="s">
        <v>694</v>
      </c>
      <c r="C175" s="195" t="s">
        <v>693</v>
      </c>
    </row>
    <row r="176" spans="1:3" ht="18.75" hidden="1" customHeight="1" thickBot="1" x14ac:dyDescent="0.3">
      <c r="A176" s="195" t="s">
        <v>630</v>
      </c>
      <c r="B176" s="196" t="s">
        <v>692</v>
      </c>
      <c r="C176" s="195" t="s">
        <v>691</v>
      </c>
    </row>
    <row r="177" spans="1:3" ht="18.75" hidden="1" customHeight="1" thickBot="1" x14ac:dyDescent="0.3">
      <c r="A177" s="195" t="s">
        <v>630</v>
      </c>
      <c r="B177" s="196" t="s">
        <v>690</v>
      </c>
      <c r="C177" s="195" t="s">
        <v>689</v>
      </c>
    </row>
    <row r="178" spans="1:3" ht="18.75" hidden="1" customHeight="1" thickBot="1" x14ac:dyDescent="0.3">
      <c r="A178" s="195" t="s">
        <v>630</v>
      </c>
      <c r="B178" s="196" t="s">
        <v>688</v>
      </c>
      <c r="C178" s="195" t="s">
        <v>687</v>
      </c>
    </row>
    <row r="179" spans="1:3" ht="18.75" hidden="1" customHeight="1" thickBot="1" x14ac:dyDescent="0.3">
      <c r="A179" s="195" t="s">
        <v>630</v>
      </c>
      <c r="B179" s="196" t="s">
        <v>686</v>
      </c>
      <c r="C179" s="195" t="s">
        <v>685</v>
      </c>
    </row>
    <row r="180" spans="1:3" ht="18.75" hidden="1" customHeight="1" thickBot="1" x14ac:dyDescent="0.3">
      <c r="A180" s="195" t="s">
        <v>630</v>
      </c>
      <c r="B180" s="196" t="s">
        <v>684</v>
      </c>
      <c r="C180" s="195" t="s">
        <v>683</v>
      </c>
    </row>
    <row r="181" spans="1:3" ht="18.75" hidden="1" customHeight="1" thickBot="1" x14ac:dyDescent="0.3">
      <c r="A181" s="195" t="s">
        <v>630</v>
      </c>
      <c r="B181" s="196" t="s">
        <v>682</v>
      </c>
      <c r="C181" s="195" t="s">
        <v>681</v>
      </c>
    </row>
    <row r="182" spans="1:3" ht="18.75" hidden="1" customHeight="1" thickBot="1" x14ac:dyDescent="0.3">
      <c r="A182" s="195" t="s">
        <v>630</v>
      </c>
      <c r="B182" s="196" t="s">
        <v>680</v>
      </c>
      <c r="C182" s="195" t="s">
        <v>679</v>
      </c>
    </row>
    <row r="183" spans="1:3" ht="18.75" hidden="1" customHeight="1" thickBot="1" x14ac:dyDescent="0.3">
      <c r="A183" s="195" t="s">
        <v>630</v>
      </c>
      <c r="B183" s="196" t="s">
        <v>678</v>
      </c>
      <c r="C183" s="195" t="s">
        <v>677</v>
      </c>
    </row>
    <row r="184" spans="1:3" ht="18.75" hidden="1" customHeight="1" thickBot="1" x14ac:dyDescent="0.3">
      <c r="A184" s="195" t="s">
        <v>630</v>
      </c>
      <c r="B184" s="196" t="s">
        <v>676</v>
      </c>
      <c r="C184" s="195" t="s">
        <v>675</v>
      </c>
    </row>
    <row r="185" spans="1:3" ht="18.75" hidden="1" customHeight="1" thickBot="1" x14ac:dyDescent="0.3">
      <c r="A185" s="195" t="s">
        <v>630</v>
      </c>
      <c r="B185" s="196" t="s">
        <v>674</v>
      </c>
      <c r="C185" s="195" t="s">
        <v>673</v>
      </c>
    </row>
    <row r="186" spans="1:3" ht="18.75" hidden="1" customHeight="1" thickBot="1" x14ac:dyDescent="0.3">
      <c r="A186" s="195" t="s">
        <v>630</v>
      </c>
      <c r="B186" s="196" t="s">
        <v>672</v>
      </c>
      <c r="C186" s="195" t="s">
        <v>671</v>
      </c>
    </row>
    <row r="187" spans="1:3" ht="18.75" hidden="1" customHeight="1" thickBot="1" x14ac:dyDescent="0.3">
      <c r="A187" s="195" t="s">
        <v>630</v>
      </c>
      <c r="B187" s="196" t="s">
        <v>670</v>
      </c>
      <c r="C187" s="195" t="s">
        <v>669</v>
      </c>
    </row>
    <row r="188" spans="1:3" ht="18.75" hidden="1" customHeight="1" thickBot="1" x14ac:dyDescent="0.3">
      <c r="A188" s="195" t="s">
        <v>630</v>
      </c>
      <c r="B188" s="196" t="s">
        <v>668</v>
      </c>
      <c r="C188" s="195" t="s">
        <v>667</v>
      </c>
    </row>
    <row r="189" spans="1:3" ht="18.75" hidden="1" customHeight="1" thickBot="1" x14ac:dyDescent="0.3">
      <c r="A189" s="195" t="s">
        <v>630</v>
      </c>
      <c r="B189" s="196" t="s">
        <v>666</v>
      </c>
      <c r="C189" s="195" t="s">
        <v>665</v>
      </c>
    </row>
    <row r="190" spans="1:3" ht="18.75" hidden="1" customHeight="1" thickBot="1" x14ac:dyDescent="0.3">
      <c r="A190" s="195" t="s">
        <v>630</v>
      </c>
      <c r="B190" s="196" t="s">
        <v>664</v>
      </c>
      <c r="C190" s="195" t="s">
        <v>663</v>
      </c>
    </row>
    <row r="191" spans="1:3" ht="18.75" hidden="1" customHeight="1" thickBot="1" x14ac:dyDescent="0.3">
      <c r="A191" s="195" t="s">
        <v>630</v>
      </c>
      <c r="B191" s="196" t="s">
        <v>662</v>
      </c>
      <c r="C191" s="195" t="s">
        <v>661</v>
      </c>
    </row>
    <row r="192" spans="1:3" ht="18.75" hidden="1" customHeight="1" thickBot="1" x14ac:dyDescent="0.3">
      <c r="A192" s="195" t="s">
        <v>630</v>
      </c>
      <c r="B192" s="196" t="s">
        <v>660</v>
      </c>
      <c r="C192" s="195" t="s">
        <v>659</v>
      </c>
    </row>
    <row r="193" spans="1:3" ht="18.75" hidden="1" customHeight="1" thickBot="1" x14ac:dyDescent="0.3">
      <c r="A193" s="195" t="s">
        <v>630</v>
      </c>
      <c r="B193" s="196" t="s">
        <v>658</v>
      </c>
      <c r="C193" s="195" t="s">
        <v>657</v>
      </c>
    </row>
    <row r="194" spans="1:3" ht="18.75" hidden="1" customHeight="1" thickBot="1" x14ac:dyDescent="0.3">
      <c r="A194" s="195" t="s">
        <v>630</v>
      </c>
      <c r="B194" s="196" t="s">
        <v>656</v>
      </c>
      <c r="C194" s="195" t="s">
        <v>655</v>
      </c>
    </row>
    <row r="195" spans="1:3" ht="18.75" hidden="1" customHeight="1" thickBot="1" x14ac:dyDescent="0.3">
      <c r="A195" s="195" t="s">
        <v>630</v>
      </c>
      <c r="B195" s="196" t="s">
        <v>654</v>
      </c>
      <c r="C195" s="195" t="s">
        <v>653</v>
      </c>
    </row>
    <row r="196" spans="1:3" ht="18.75" hidden="1" customHeight="1" thickBot="1" x14ac:dyDescent="0.3">
      <c r="A196" s="195" t="s">
        <v>630</v>
      </c>
      <c r="B196" s="196" t="s">
        <v>652</v>
      </c>
      <c r="C196" s="195" t="s">
        <v>651</v>
      </c>
    </row>
    <row r="197" spans="1:3" ht="18.75" hidden="1" customHeight="1" thickBot="1" x14ac:dyDescent="0.3">
      <c r="A197" s="195" t="s">
        <v>630</v>
      </c>
      <c r="B197" s="196" t="s">
        <v>650</v>
      </c>
      <c r="C197" s="195" t="s">
        <v>649</v>
      </c>
    </row>
    <row r="198" spans="1:3" ht="18.75" hidden="1" customHeight="1" thickBot="1" x14ac:dyDescent="0.3">
      <c r="A198" s="195" t="s">
        <v>630</v>
      </c>
      <c r="B198" s="196" t="s">
        <v>648</v>
      </c>
      <c r="C198" s="195" t="s">
        <v>647</v>
      </c>
    </row>
    <row r="199" spans="1:3" ht="18.75" hidden="1" customHeight="1" thickBot="1" x14ac:dyDescent="0.3">
      <c r="A199" s="195" t="s">
        <v>630</v>
      </c>
      <c r="B199" s="196" t="s">
        <v>646</v>
      </c>
      <c r="C199" s="195" t="s">
        <v>645</v>
      </c>
    </row>
    <row r="200" spans="1:3" ht="18.75" hidden="1" customHeight="1" thickBot="1" x14ac:dyDescent="0.3">
      <c r="A200" s="195" t="s">
        <v>630</v>
      </c>
      <c r="B200" s="196" t="s">
        <v>644</v>
      </c>
      <c r="C200" s="195" t="s">
        <v>643</v>
      </c>
    </row>
    <row r="201" spans="1:3" ht="18.75" hidden="1" customHeight="1" thickBot="1" x14ac:dyDescent="0.3">
      <c r="A201" s="195" t="s">
        <v>630</v>
      </c>
      <c r="B201" s="196" t="s">
        <v>642</v>
      </c>
      <c r="C201" s="195" t="s">
        <v>641</v>
      </c>
    </row>
    <row r="202" spans="1:3" ht="18.75" hidden="1" customHeight="1" thickBot="1" x14ac:dyDescent="0.3">
      <c r="A202" s="195" t="s">
        <v>630</v>
      </c>
      <c r="B202" s="196" t="s">
        <v>640</v>
      </c>
      <c r="C202" s="195" t="s">
        <v>639</v>
      </c>
    </row>
    <row r="203" spans="1:3" ht="18.75" hidden="1" customHeight="1" thickBot="1" x14ac:dyDescent="0.3">
      <c r="A203" s="195" t="s">
        <v>630</v>
      </c>
      <c r="B203" s="196" t="s">
        <v>638</v>
      </c>
      <c r="C203" s="195" t="s">
        <v>637</v>
      </c>
    </row>
    <row r="204" spans="1:3" ht="18.75" hidden="1" customHeight="1" thickBot="1" x14ac:dyDescent="0.3">
      <c r="A204" s="195" t="s">
        <v>630</v>
      </c>
      <c r="B204" s="196" t="s">
        <v>636</v>
      </c>
      <c r="C204" s="195" t="s">
        <v>635</v>
      </c>
    </row>
    <row r="205" spans="1:3" ht="18.75" hidden="1" customHeight="1" thickBot="1" x14ac:dyDescent="0.3">
      <c r="A205" s="195" t="s">
        <v>630</v>
      </c>
      <c r="B205" s="196" t="s">
        <v>634</v>
      </c>
      <c r="C205" s="195" t="s">
        <v>633</v>
      </c>
    </row>
    <row r="206" spans="1:3" ht="18.75" hidden="1" customHeight="1" thickBot="1" x14ac:dyDescent="0.3">
      <c r="A206" s="195" t="s">
        <v>630</v>
      </c>
      <c r="B206" s="196" t="s">
        <v>632</v>
      </c>
      <c r="C206" s="195" t="s">
        <v>631</v>
      </c>
    </row>
    <row r="207" spans="1:3" ht="18.75" hidden="1" customHeight="1" thickBot="1" x14ac:dyDescent="0.3">
      <c r="A207" s="195" t="s">
        <v>630</v>
      </c>
      <c r="B207" s="196" t="s">
        <v>629</v>
      </c>
      <c r="C207" s="195" t="s">
        <v>628</v>
      </c>
    </row>
    <row r="208" spans="1:3" ht="18.75" hidden="1" customHeight="1" thickBot="1" x14ac:dyDescent="0.3">
      <c r="A208" s="195" t="s">
        <v>549</v>
      </c>
      <c r="B208" s="196" t="s">
        <v>627</v>
      </c>
      <c r="C208" s="195" t="s">
        <v>626</v>
      </c>
    </row>
    <row r="209" spans="1:3" ht="18.75" hidden="1" customHeight="1" thickBot="1" x14ac:dyDescent="0.3">
      <c r="A209" s="195" t="s">
        <v>549</v>
      </c>
      <c r="B209" s="196" t="s">
        <v>625</v>
      </c>
      <c r="C209" s="195" t="s">
        <v>624</v>
      </c>
    </row>
    <row r="210" spans="1:3" ht="18.75" hidden="1" customHeight="1" thickBot="1" x14ac:dyDescent="0.3">
      <c r="A210" s="195" t="s">
        <v>549</v>
      </c>
      <c r="B210" s="196" t="s">
        <v>623</v>
      </c>
      <c r="C210" s="195" t="s">
        <v>622</v>
      </c>
    </row>
    <row r="211" spans="1:3" ht="18.75" hidden="1" customHeight="1" thickBot="1" x14ac:dyDescent="0.3">
      <c r="A211" s="195" t="s">
        <v>549</v>
      </c>
      <c r="B211" s="196" t="s">
        <v>621</v>
      </c>
      <c r="C211" s="195" t="s">
        <v>620</v>
      </c>
    </row>
    <row r="212" spans="1:3" ht="18.75" hidden="1" customHeight="1" thickBot="1" x14ac:dyDescent="0.3">
      <c r="A212" s="195" t="s">
        <v>549</v>
      </c>
      <c r="B212" s="196" t="s">
        <v>619</v>
      </c>
      <c r="C212" s="195" t="s">
        <v>618</v>
      </c>
    </row>
    <row r="213" spans="1:3" ht="18.75" hidden="1" customHeight="1" thickBot="1" x14ac:dyDescent="0.3">
      <c r="A213" s="195" t="s">
        <v>549</v>
      </c>
      <c r="B213" s="196" t="s">
        <v>617</v>
      </c>
      <c r="C213" s="195" t="s">
        <v>616</v>
      </c>
    </row>
    <row r="214" spans="1:3" ht="18.75" hidden="1" customHeight="1" thickBot="1" x14ac:dyDescent="0.3">
      <c r="A214" s="195" t="s">
        <v>549</v>
      </c>
      <c r="B214" s="196" t="s">
        <v>615</v>
      </c>
      <c r="C214" s="195" t="s">
        <v>614</v>
      </c>
    </row>
    <row r="215" spans="1:3" ht="18.75" hidden="1" customHeight="1" thickBot="1" x14ac:dyDescent="0.3">
      <c r="A215" s="195" t="s">
        <v>549</v>
      </c>
      <c r="B215" s="196" t="s">
        <v>613</v>
      </c>
      <c r="C215" s="195" t="s">
        <v>612</v>
      </c>
    </row>
    <row r="216" spans="1:3" ht="18.75" hidden="1" customHeight="1" thickBot="1" x14ac:dyDescent="0.3">
      <c r="A216" s="195" t="s">
        <v>549</v>
      </c>
      <c r="B216" s="196" t="s">
        <v>611</v>
      </c>
      <c r="C216" s="195" t="s">
        <v>610</v>
      </c>
    </row>
    <row r="217" spans="1:3" ht="18.75" hidden="1" customHeight="1" thickBot="1" x14ac:dyDescent="0.3">
      <c r="A217" s="195" t="s">
        <v>549</v>
      </c>
      <c r="B217" s="196" t="s">
        <v>609</v>
      </c>
      <c r="C217" s="195" t="s">
        <v>608</v>
      </c>
    </row>
    <row r="218" spans="1:3" ht="18.75" hidden="1" customHeight="1" thickBot="1" x14ac:dyDescent="0.3">
      <c r="A218" s="195" t="s">
        <v>549</v>
      </c>
      <c r="B218" s="196" t="s">
        <v>607</v>
      </c>
      <c r="C218" s="195" t="s">
        <v>606</v>
      </c>
    </row>
    <row r="219" spans="1:3" ht="18.75" hidden="1" customHeight="1" thickBot="1" x14ac:dyDescent="0.3">
      <c r="A219" s="195" t="s">
        <v>549</v>
      </c>
      <c r="B219" s="196" t="s">
        <v>605</v>
      </c>
      <c r="C219" s="195" t="s">
        <v>604</v>
      </c>
    </row>
    <row r="220" spans="1:3" ht="18.75" hidden="1" customHeight="1" thickBot="1" x14ac:dyDescent="0.3">
      <c r="A220" s="195" t="s">
        <v>549</v>
      </c>
      <c r="B220" s="196" t="s">
        <v>546</v>
      </c>
      <c r="C220" s="195" t="s">
        <v>603</v>
      </c>
    </row>
    <row r="221" spans="1:3" ht="18.75" hidden="1" customHeight="1" thickBot="1" x14ac:dyDescent="0.3">
      <c r="A221" s="195" t="s">
        <v>549</v>
      </c>
      <c r="B221" s="196" t="s">
        <v>602</v>
      </c>
      <c r="C221" s="195" t="s">
        <v>601</v>
      </c>
    </row>
    <row r="222" spans="1:3" ht="18.75" hidden="1" customHeight="1" thickBot="1" x14ac:dyDescent="0.3">
      <c r="A222" s="195" t="s">
        <v>549</v>
      </c>
      <c r="B222" s="196" t="s">
        <v>600</v>
      </c>
      <c r="C222" s="195" t="s">
        <v>599</v>
      </c>
    </row>
    <row r="223" spans="1:3" ht="18.75" hidden="1" customHeight="1" thickBot="1" x14ac:dyDescent="0.3">
      <c r="A223" s="195" t="s">
        <v>549</v>
      </c>
      <c r="B223" s="196" t="s">
        <v>598</v>
      </c>
      <c r="C223" s="195" t="s">
        <v>564</v>
      </c>
    </row>
    <row r="224" spans="1:3" ht="18.75" hidden="1" customHeight="1" thickBot="1" x14ac:dyDescent="0.3">
      <c r="A224" s="195" t="s">
        <v>549</v>
      </c>
      <c r="B224" s="196" t="s">
        <v>597</v>
      </c>
      <c r="C224" s="195" t="s">
        <v>596</v>
      </c>
    </row>
    <row r="225" spans="1:3" ht="18.75" hidden="1" customHeight="1" thickBot="1" x14ac:dyDescent="0.3">
      <c r="A225" s="195" t="s">
        <v>549</v>
      </c>
      <c r="B225" s="196" t="s">
        <v>595</v>
      </c>
      <c r="C225" s="195" t="s">
        <v>594</v>
      </c>
    </row>
    <row r="226" spans="1:3" ht="18.75" hidden="1" customHeight="1" thickBot="1" x14ac:dyDescent="0.3">
      <c r="A226" s="195" t="s">
        <v>549</v>
      </c>
      <c r="B226" s="196" t="s">
        <v>593</v>
      </c>
      <c r="C226" s="195" t="s">
        <v>592</v>
      </c>
    </row>
    <row r="227" spans="1:3" ht="18.75" hidden="1" customHeight="1" thickBot="1" x14ac:dyDescent="0.3">
      <c r="A227" s="195" t="s">
        <v>549</v>
      </c>
      <c r="B227" s="196" t="s">
        <v>591</v>
      </c>
      <c r="C227" s="195" t="s">
        <v>590</v>
      </c>
    </row>
    <row r="228" spans="1:3" ht="18.75" hidden="1" customHeight="1" thickBot="1" x14ac:dyDescent="0.3">
      <c r="A228" s="195" t="s">
        <v>549</v>
      </c>
      <c r="B228" s="196" t="s">
        <v>589</v>
      </c>
      <c r="C228" s="195" t="s">
        <v>588</v>
      </c>
    </row>
    <row r="229" spans="1:3" ht="18.75" hidden="1" customHeight="1" thickBot="1" x14ac:dyDescent="0.3">
      <c r="A229" s="195" t="s">
        <v>549</v>
      </c>
      <c r="B229" s="196" t="s">
        <v>587</v>
      </c>
      <c r="C229" s="195" t="s">
        <v>586</v>
      </c>
    </row>
    <row r="230" spans="1:3" ht="18.75" hidden="1" customHeight="1" thickBot="1" x14ac:dyDescent="0.3">
      <c r="A230" s="195" t="s">
        <v>549</v>
      </c>
      <c r="B230" s="196" t="s">
        <v>585</v>
      </c>
      <c r="C230" s="195" t="s">
        <v>584</v>
      </c>
    </row>
    <row r="231" spans="1:3" ht="18.75" hidden="1" customHeight="1" thickBot="1" x14ac:dyDescent="0.3">
      <c r="A231" s="195" t="s">
        <v>549</v>
      </c>
      <c r="B231" s="196" t="s">
        <v>583</v>
      </c>
      <c r="C231" s="195" t="s">
        <v>582</v>
      </c>
    </row>
    <row r="232" spans="1:3" ht="18.75" hidden="1" customHeight="1" thickBot="1" x14ac:dyDescent="0.3">
      <c r="A232" s="195" t="s">
        <v>549</v>
      </c>
      <c r="B232" s="196" t="s">
        <v>581</v>
      </c>
      <c r="C232" s="195" t="s">
        <v>580</v>
      </c>
    </row>
    <row r="233" spans="1:3" ht="18.75" hidden="1" customHeight="1" thickBot="1" x14ac:dyDescent="0.3">
      <c r="A233" s="195" t="s">
        <v>549</v>
      </c>
      <c r="B233" s="196" t="s">
        <v>579</v>
      </c>
      <c r="C233" s="195" t="s">
        <v>578</v>
      </c>
    </row>
    <row r="234" spans="1:3" ht="18.75" hidden="1" customHeight="1" thickBot="1" x14ac:dyDescent="0.3">
      <c r="A234" s="195" t="s">
        <v>549</v>
      </c>
      <c r="B234" s="196" t="s">
        <v>577</v>
      </c>
      <c r="C234" s="195" t="s">
        <v>576</v>
      </c>
    </row>
    <row r="235" spans="1:3" ht="18.75" hidden="1" customHeight="1" thickBot="1" x14ac:dyDescent="0.3">
      <c r="A235" s="195" t="s">
        <v>549</v>
      </c>
      <c r="B235" s="196" t="s">
        <v>575</v>
      </c>
      <c r="C235" s="195" t="s">
        <v>574</v>
      </c>
    </row>
    <row r="236" spans="1:3" ht="18.75" hidden="1" customHeight="1" thickBot="1" x14ac:dyDescent="0.3">
      <c r="A236" s="195" t="s">
        <v>549</v>
      </c>
      <c r="B236" s="196" t="s">
        <v>573</v>
      </c>
      <c r="C236" s="195" t="s">
        <v>572</v>
      </c>
    </row>
    <row r="237" spans="1:3" ht="18.75" hidden="1" customHeight="1" thickBot="1" x14ac:dyDescent="0.3">
      <c r="A237" s="195" t="s">
        <v>549</v>
      </c>
      <c r="B237" s="196" t="s">
        <v>571</v>
      </c>
      <c r="C237" s="195" t="s">
        <v>570</v>
      </c>
    </row>
    <row r="238" spans="1:3" ht="18.75" hidden="1" customHeight="1" thickBot="1" x14ac:dyDescent="0.3">
      <c r="A238" s="195" t="s">
        <v>549</v>
      </c>
      <c r="B238" s="196" t="s">
        <v>569</v>
      </c>
      <c r="C238" s="195" t="s">
        <v>568</v>
      </c>
    </row>
    <row r="239" spans="1:3" ht="18.75" hidden="1" customHeight="1" thickBot="1" x14ac:dyDescent="0.3">
      <c r="A239" s="195" t="s">
        <v>549</v>
      </c>
      <c r="B239" s="196" t="s">
        <v>567</v>
      </c>
      <c r="C239" s="195" t="s">
        <v>566</v>
      </c>
    </row>
    <row r="240" spans="1:3" ht="18.75" hidden="1" customHeight="1" thickBot="1" x14ac:dyDescent="0.3">
      <c r="A240" s="195" t="s">
        <v>549</v>
      </c>
      <c r="B240" s="196" t="s">
        <v>565</v>
      </c>
      <c r="C240" s="195" t="s">
        <v>564</v>
      </c>
    </row>
    <row r="241" spans="1:3" ht="18.75" hidden="1" customHeight="1" thickBot="1" x14ac:dyDescent="0.3">
      <c r="A241" s="195" t="s">
        <v>549</v>
      </c>
      <c r="B241" s="196" t="s">
        <v>563</v>
      </c>
      <c r="C241" s="195" t="s">
        <v>562</v>
      </c>
    </row>
    <row r="242" spans="1:3" ht="18.75" hidden="1" customHeight="1" thickBot="1" x14ac:dyDescent="0.3">
      <c r="A242" s="195" t="s">
        <v>549</v>
      </c>
      <c r="B242" s="196" t="s">
        <v>561</v>
      </c>
      <c r="C242" s="195" t="s">
        <v>560</v>
      </c>
    </row>
    <row r="243" spans="1:3" ht="18.75" hidden="1" customHeight="1" thickBot="1" x14ac:dyDescent="0.3">
      <c r="A243" s="195" t="s">
        <v>549</v>
      </c>
      <c r="B243" s="196" t="s">
        <v>559</v>
      </c>
      <c r="C243" s="195" t="s">
        <v>558</v>
      </c>
    </row>
    <row r="244" spans="1:3" ht="18.75" hidden="1" customHeight="1" thickBot="1" x14ac:dyDescent="0.3">
      <c r="A244" s="195" t="s">
        <v>549</v>
      </c>
      <c r="B244" s="196" t="s">
        <v>557</v>
      </c>
      <c r="C244" s="195" t="s">
        <v>556</v>
      </c>
    </row>
    <row r="245" spans="1:3" ht="18.75" hidden="1" customHeight="1" thickBot="1" x14ac:dyDescent="0.3">
      <c r="A245" s="195" t="s">
        <v>549</v>
      </c>
      <c r="B245" s="196" t="s">
        <v>555</v>
      </c>
      <c r="C245" s="195" t="s">
        <v>554</v>
      </c>
    </row>
    <row r="246" spans="1:3" ht="18.75" hidden="1" customHeight="1" thickBot="1" x14ac:dyDescent="0.3">
      <c r="A246" s="195" t="s">
        <v>549</v>
      </c>
      <c r="B246" s="196" t="s">
        <v>553</v>
      </c>
      <c r="C246" s="195" t="s">
        <v>552</v>
      </c>
    </row>
    <row r="247" spans="1:3" ht="18.75" hidden="1" customHeight="1" thickBot="1" x14ac:dyDescent="0.3">
      <c r="A247" s="195" t="s">
        <v>549</v>
      </c>
      <c r="B247" s="196" t="s">
        <v>551</v>
      </c>
      <c r="C247" s="195" t="s">
        <v>550</v>
      </c>
    </row>
    <row r="248" spans="1:3" ht="18.75" hidden="1" customHeight="1" thickBot="1" x14ac:dyDescent="0.3">
      <c r="A248" s="195" t="s">
        <v>549</v>
      </c>
      <c r="B248" s="196" t="s">
        <v>548</v>
      </c>
      <c r="C248" s="195" t="s">
        <v>547</v>
      </c>
    </row>
    <row r="249" spans="1:3" ht="18.75" hidden="1" customHeight="1" thickBot="1" x14ac:dyDescent="0.3">
      <c r="A249" s="195" t="s">
        <v>497</v>
      </c>
      <c r="B249" s="196" t="s">
        <v>546</v>
      </c>
      <c r="C249" s="195" t="s">
        <v>545</v>
      </c>
    </row>
    <row r="250" spans="1:3" ht="18.75" hidden="1" customHeight="1" thickBot="1" x14ac:dyDescent="0.3">
      <c r="A250" s="195" t="s">
        <v>497</v>
      </c>
      <c r="B250" s="196" t="s">
        <v>544</v>
      </c>
      <c r="C250" s="195" t="s">
        <v>543</v>
      </c>
    </row>
    <row r="251" spans="1:3" ht="18.75" hidden="1" customHeight="1" thickBot="1" x14ac:dyDescent="0.3">
      <c r="A251" s="195" t="s">
        <v>497</v>
      </c>
      <c r="B251" s="196" t="s">
        <v>542</v>
      </c>
      <c r="C251" s="195" t="s">
        <v>541</v>
      </c>
    </row>
    <row r="252" spans="1:3" ht="18.75" hidden="1" customHeight="1" thickBot="1" x14ac:dyDescent="0.3">
      <c r="A252" s="195" t="s">
        <v>497</v>
      </c>
      <c r="B252" s="196" t="s">
        <v>540</v>
      </c>
      <c r="C252" s="195" t="s">
        <v>539</v>
      </c>
    </row>
    <row r="253" spans="1:3" ht="18.75" hidden="1" customHeight="1" thickBot="1" x14ac:dyDescent="0.3">
      <c r="A253" s="195" t="s">
        <v>497</v>
      </c>
      <c r="B253" s="196" t="s">
        <v>538</v>
      </c>
      <c r="C253" s="195" t="s">
        <v>537</v>
      </c>
    </row>
    <row r="254" spans="1:3" ht="18.75" hidden="1" customHeight="1" thickBot="1" x14ac:dyDescent="0.3">
      <c r="A254" s="195" t="s">
        <v>497</v>
      </c>
      <c r="B254" s="196" t="s">
        <v>536</v>
      </c>
      <c r="C254" s="195" t="s">
        <v>535</v>
      </c>
    </row>
    <row r="255" spans="1:3" ht="18.75" hidden="1" customHeight="1" thickBot="1" x14ac:dyDescent="0.3">
      <c r="A255" s="195" t="s">
        <v>497</v>
      </c>
      <c r="B255" s="196" t="s">
        <v>534</v>
      </c>
      <c r="C255" s="195" t="s">
        <v>533</v>
      </c>
    </row>
    <row r="256" spans="1:3" ht="18.75" hidden="1" customHeight="1" thickBot="1" x14ac:dyDescent="0.3">
      <c r="A256" s="195" t="s">
        <v>497</v>
      </c>
      <c r="B256" s="196" t="s">
        <v>532</v>
      </c>
      <c r="C256" s="195" t="s">
        <v>531</v>
      </c>
    </row>
    <row r="257" spans="1:3" ht="18.75" hidden="1" customHeight="1" thickBot="1" x14ac:dyDescent="0.3">
      <c r="A257" s="195" t="s">
        <v>497</v>
      </c>
      <c r="B257" s="196" t="s">
        <v>530</v>
      </c>
      <c r="C257" s="195" t="s">
        <v>529</v>
      </c>
    </row>
    <row r="258" spans="1:3" ht="18.75" hidden="1" customHeight="1" thickBot="1" x14ac:dyDescent="0.3">
      <c r="A258" s="195" t="s">
        <v>497</v>
      </c>
      <c r="B258" s="196" t="s">
        <v>528</v>
      </c>
      <c r="C258" s="195" t="s">
        <v>527</v>
      </c>
    </row>
    <row r="259" spans="1:3" ht="18.75" hidden="1" customHeight="1" thickBot="1" x14ac:dyDescent="0.3">
      <c r="A259" s="195" t="s">
        <v>497</v>
      </c>
      <c r="B259" s="196" t="s">
        <v>526</v>
      </c>
      <c r="C259" s="195" t="s">
        <v>525</v>
      </c>
    </row>
    <row r="260" spans="1:3" ht="18.75" hidden="1" customHeight="1" thickBot="1" x14ac:dyDescent="0.3">
      <c r="A260" s="195" t="s">
        <v>497</v>
      </c>
      <c r="B260" s="196" t="s">
        <v>524</v>
      </c>
      <c r="C260" s="195" t="s">
        <v>523</v>
      </c>
    </row>
    <row r="261" spans="1:3" ht="18.75" hidden="1" customHeight="1" thickBot="1" x14ac:dyDescent="0.3">
      <c r="A261" s="195" t="s">
        <v>497</v>
      </c>
      <c r="B261" s="196" t="s">
        <v>522</v>
      </c>
      <c r="C261" s="195" t="s">
        <v>521</v>
      </c>
    </row>
    <row r="262" spans="1:3" ht="18.75" hidden="1" customHeight="1" thickBot="1" x14ac:dyDescent="0.3">
      <c r="A262" s="195" t="s">
        <v>497</v>
      </c>
      <c r="B262" s="196" t="s">
        <v>520</v>
      </c>
      <c r="C262" s="195" t="s">
        <v>519</v>
      </c>
    </row>
    <row r="263" spans="1:3" ht="18.75" hidden="1" customHeight="1" thickBot="1" x14ac:dyDescent="0.3">
      <c r="A263" s="195" t="s">
        <v>497</v>
      </c>
      <c r="B263" s="196" t="s">
        <v>518</v>
      </c>
      <c r="C263" s="195" t="s">
        <v>517</v>
      </c>
    </row>
    <row r="264" spans="1:3" ht="18.75" hidden="1" customHeight="1" thickBot="1" x14ac:dyDescent="0.3">
      <c r="A264" s="195" t="s">
        <v>497</v>
      </c>
      <c r="B264" s="196" t="s">
        <v>516</v>
      </c>
      <c r="C264" s="195" t="s">
        <v>515</v>
      </c>
    </row>
    <row r="265" spans="1:3" ht="18.75" hidden="1" customHeight="1" thickBot="1" x14ac:dyDescent="0.3">
      <c r="A265" s="195" t="s">
        <v>497</v>
      </c>
      <c r="B265" s="196" t="s">
        <v>514</v>
      </c>
      <c r="C265" s="195" t="s">
        <v>513</v>
      </c>
    </row>
    <row r="266" spans="1:3" ht="18.75" hidden="1" customHeight="1" thickBot="1" x14ac:dyDescent="0.3">
      <c r="A266" s="195" t="s">
        <v>497</v>
      </c>
      <c r="B266" s="196" t="s">
        <v>512</v>
      </c>
      <c r="C266" s="195" t="s">
        <v>511</v>
      </c>
    </row>
    <row r="267" spans="1:3" ht="18.75" hidden="1" customHeight="1" thickBot="1" x14ac:dyDescent="0.3">
      <c r="A267" s="195" t="s">
        <v>497</v>
      </c>
      <c r="B267" s="196" t="s">
        <v>510</v>
      </c>
      <c r="C267" s="195" t="s">
        <v>509</v>
      </c>
    </row>
    <row r="268" spans="1:3" ht="18.75" hidden="1" customHeight="1" thickBot="1" x14ac:dyDescent="0.3">
      <c r="A268" s="195" t="s">
        <v>497</v>
      </c>
      <c r="B268" s="196" t="s">
        <v>508</v>
      </c>
      <c r="C268" s="195" t="s">
        <v>507</v>
      </c>
    </row>
    <row r="269" spans="1:3" ht="18.75" hidden="1" customHeight="1" thickBot="1" x14ac:dyDescent="0.3">
      <c r="A269" s="195" t="s">
        <v>497</v>
      </c>
      <c r="B269" s="196" t="s">
        <v>506</v>
      </c>
      <c r="C269" s="195" t="s">
        <v>505</v>
      </c>
    </row>
    <row r="270" spans="1:3" ht="18.75" hidden="1" customHeight="1" thickBot="1" x14ac:dyDescent="0.3">
      <c r="A270" s="195" t="s">
        <v>497</v>
      </c>
      <c r="B270" s="196" t="s">
        <v>504</v>
      </c>
      <c r="C270" s="195" t="s">
        <v>503</v>
      </c>
    </row>
    <row r="271" spans="1:3" ht="18.75" hidden="1" customHeight="1" thickBot="1" x14ac:dyDescent="0.3">
      <c r="A271" s="195" t="s">
        <v>497</v>
      </c>
      <c r="B271" s="196" t="s">
        <v>502</v>
      </c>
      <c r="C271" s="195" t="s">
        <v>500</v>
      </c>
    </row>
    <row r="272" spans="1:3" ht="18.75" hidden="1" customHeight="1" thickBot="1" x14ac:dyDescent="0.3">
      <c r="A272" s="195" t="s">
        <v>497</v>
      </c>
      <c r="B272" s="196" t="s">
        <v>501</v>
      </c>
      <c r="C272" s="195" t="s">
        <v>500</v>
      </c>
    </row>
    <row r="273" spans="1:3" ht="18.75" hidden="1" customHeight="1" thickBot="1" x14ac:dyDescent="0.3">
      <c r="A273" s="195" t="s">
        <v>497</v>
      </c>
      <c r="B273" s="196" t="s">
        <v>499</v>
      </c>
      <c r="C273" s="195" t="s">
        <v>498</v>
      </c>
    </row>
    <row r="274" spans="1:3" ht="18.75" hidden="1" customHeight="1" thickBot="1" x14ac:dyDescent="0.3">
      <c r="A274" s="195" t="s">
        <v>497</v>
      </c>
      <c r="B274" s="196" t="s">
        <v>496</v>
      </c>
      <c r="C274" s="195" t="s">
        <v>495</v>
      </c>
    </row>
  </sheetData>
  <sheetProtection password="CA6B" sheet="1" objects="1" scenarios="1"/>
  <mergeCells count="2">
    <mergeCell ref="A4:B4"/>
    <mergeCell ref="A2:C2"/>
  </mergeCells>
  <conditionalFormatting sqref="B10:B1048576">
    <cfRule type="expression" dxfId="36" priority="1">
      <formula>$C$4="All Charges"</formula>
    </cfRule>
    <cfRule type="expression" dxfId="35" priority="13">
      <formula>$C$4="Combined Development/Construction Certificate"</formula>
    </cfRule>
    <cfRule type="expression" dxfId="34" priority="15">
      <formula>$C$4="Development Application"</formula>
    </cfRule>
  </conditionalFormatting>
  <conditionalFormatting sqref="B12:B120">
    <cfRule type="expression" dxfId="33" priority="14">
      <formula>$C$4="Construction Certificate"</formula>
    </cfRule>
  </conditionalFormatting>
  <conditionalFormatting sqref="B11:B120">
    <cfRule type="expression" dxfId="32" priority="12">
      <formula>$C$4="Complying Development Certificate"</formula>
    </cfRule>
  </conditionalFormatting>
  <conditionalFormatting sqref="B44:B45">
    <cfRule type="expression" dxfId="31" priority="11">
      <formula>$C$4="Occupation Certificate"</formula>
    </cfRule>
  </conditionalFormatting>
  <conditionalFormatting sqref="B210:B248">
    <cfRule type="expression" dxfId="30" priority="10">
      <formula>$C$4="Certificates/Reports - Planning &amp; Regulatory"</formula>
    </cfRule>
  </conditionalFormatting>
  <conditionalFormatting sqref="B16:B121">
    <cfRule type="expression" dxfId="29" priority="9">
      <formula>$C$4="Construction Certificate - Subdivision"</formula>
    </cfRule>
  </conditionalFormatting>
  <conditionalFormatting sqref="B124:B1048576">
    <cfRule type="expression" dxfId="28" priority="8">
      <formula>$C$4="Development Contribution Plans - before 13/4/2013"</formula>
    </cfRule>
  </conditionalFormatting>
  <conditionalFormatting sqref="B161:B183">
    <cfRule type="expression" dxfId="27" priority="7">
      <formula>$C$4="Development Contributions - Direct/Indirect"</formula>
    </cfRule>
  </conditionalFormatting>
  <conditionalFormatting sqref="B87:B120">
    <cfRule type="expression" dxfId="26" priority="6">
      <formula>$C$4="Local Govt Act - Section 68 (Activity) Approvals"</formula>
    </cfRule>
  </conditionalFormatting>
  <conditionalFormatting sqref="B38:B120">
    <cfRule type="expression" dxfId="25" priority="5">
      <formula>$C$4="Modification to Application"</formula>
    </cfRule>
  </conditionalFormatting>
  <conditionalFormatting sqref="B55:B74">
    <cfRule type="expression" dxfId="24" priority="4">
      <formula>$C$4="Preliminary Development Advice"</formula>
    </cfRule>
  </conditionalFormatting>
  <conditionalFormatting sqref="B22:B120">
    <cfRule type="expression" dxfId="23" priority="3">
      <formula>$C$4="Private Certifier Certificate Registration"</formula>
    </cfRule>
  </conditionalFormatting>
  <conditionalFormatting sqref="B77:B122">
    <cfRule type="expression" dxfId="22" priority="2">
      <formula>$C$4="Roads Act (Sec 138 Works &amp; Structures) Application"</formula>
    </cfRule>
  </conditionalFormatting>
  <dataValidations count="1">
    <dataValidation type="list" allowBlank="1" showInputMessage="1" showErrorMessage="1" sqref="C4">
      <formula1>ApplicationType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3D4BCF"/>
    <pageSetUpPr fitToPage="1"/>
  </sheetPr>
  <dimension ref="A1:AD130"/>
  <sheetViews>
    <sheetView showRowColHeaders="0" topLeftCell="B1" zoomScaleNormal="100" workbookViewId="0">
      <selection activeCell="G6" sqref="G6"/>
    </sheetView>
  </sheetViews>
  <sheetFormatPr defaultColWidth="0" defaultRowHeight="15" zeroHeight="1" x14ac:dyDescent="0.25"/>
  <cols>
    <col min="1" max="1" width="9.140625" style="190" hidden="1" customWidth="1"/>
    <col min="2" max="2" width="0.7109375" style="192" customWidth="1"/>
    <col min="3" max="3" width="33.7109375" style="190" customWidth="1"/>
    <col min="4" max="4" width="0.42578125" style="192" customWidth="1"/>
    <col min="5" max="5" width="26" style="205" bestFit="1" customWidth="1"/>
    <col min="6" max="6" width="0.42578125" style="192" customWidth="1"/>
    <col min="7" max="7" width="7" style="190" customWidth="1"/>
    <col min="8" max="8" width="12.140625" style="204" bestFit="1" customWidth="1"/>
    <col min="9" max="9" width="0.42578125" style="192" customWidth="1"/>
    <col min="10" max="10" width="11.28515625" style="203" customWidth="1"/>
    <col min="11" max="11" width="0.42578125" style="192" customWidth="1"/>
    <col min="12" max="12" width="44.5703125" style="191" hidden="1" customWidth="1"/>
    <col min="13" max="13" width="6.28515625" style="191" hidden="1" customWidth="1"/>
    <col min="14" max="14" width="9.140625" style="191" hidden="1" customWidth="1"/>
    <col min="15" max="15" width="12.28515625" style="191" hidden="1" customWidth="1"/>
    <col min="16" max="16" width="18" style="191" hidden="1" customWidth="1"/>
    <col min="17" max="17" width="25.5703125" style="191" hidden="1" customWidth="1"/>
    <col min="18" max="18" width="9.140625" style="191" hidden="1" customWidth="1"/>
    <col min="19" max="19" width="20.7109375" style="191" hidden="1" customWidth="1"/>
    <col min="20" max="20" width="11.85546875" style="191" hidden="1" customWidth="1"/>
    <col min="21" max="21" width="27.28515625" style="191" hidden="1" customWidth="1"/>
    <col min="22" max="22" width="28.85546875" style="191" hidden="1" customWidth="1"/>
    <col min="23" max="23" width="16.5703125" style="191" hidden="1" customWidth="1"/>
    <col min="24" max="24" width="10.5703125" style="191" hidden="1" customWidth="1"/>
    <col min="25" max="25" width="26.140625" style="191" hidden="1" customWidth="1"/>
    <col min="26" max="26" width="10.42578125" style="191" hidden="1" customWidth="1"/>
    <col min="27" max="27" width="9.85546875" style="191" hidden="1" customWidth="1"/>
    <col min="28" max="28" width="23.140625" style="191" hidden="1" customWidth="1"/>
    <col min="29" max="29" width="9.140625" style="191" hidden="1" customWidth="1"/>
    <col min="30" max="30" width="56.140625" style="191" hidden="1" customWidth="1"/>
    <col min="31" max="16384" width="9.140625" style="191" hidden="1"/>
  </cols>
  <sheetData>
    <row r="1" spans="1:28" ht="3.75" customHeight="1" x14ac:dyDescent="0.25">
      <c r="A1" s="653" t="s">
        <v>1495</v>
      </c>
      <c r="C1" s="192"/>
      <c r="E1" s="208"/>
      <c r="G1" s="192"/>
      <c r="J1" s="207"/>
      <c r="O1" s="191" t="s">
        <v>1096</v>
      </c>
      <c r="P1" s="250" t="s">
        <v>1096</v>
      </c>
      <c r="Q1" s="250" t="s">
        <v>1096</v>
      </c>
      <c r="R1" s="250" t="s">
        <v>1094</v>
      </c>
      <c r="S1" s="250" t="s">
        <v>1071</v>
      </c>
      <c r="T1" s="250" t="s">
        <v>1091</v>
      </c>
      <c r="U1" s="250" t="s">
        <v>1071</v>
      </c>
      <c r="V1" s="250" t="s">
        <v>1088</v>
      </c>
      <c r="W1" s="250" t="s">
        <v>1085</v>
      </c>
      <c r="X1" s="250" t="s">
        <v>1074</v>
      </c>
      <c r="Y1" s="250" t="s">
        <v>1077</v>
      </c>
      <c r="Z1" s="250" t="s">
        <v>1074</v>
      </c>
      <c r="AA1" s="250" t="s">
        <v>1074</v>
      </c>
      <c r="AB1" s="250" t="s">
        <v>1071</v>
      </c>
    </row>
    <row r="2" spans="1:28" ht="29.25" customHeight="1" x14ac:dyDescent="0.25">
      <c r="C2" s="1056" t="s">
        <v>1140</v>
      </c>
      <c r="D2" s="1056"/>
      <c r="E2" s="1056"/>
      <c r="F2" s="1056"/>
      <c r="G2" s="1056"/>
      <c r="H2" s="1056"/>
      <c r="I2" s="1056"/>
      <c r="J2" s="1056"/>
      <c r="O2" s="191" t="s">
        <v>1139</v>
      </c>
      <c r="P2" s="191" t="s">
        <v>1139</v>
      </c>
      <c r="Q2" s="191" t="s">
        <v>1139</v>
      </c>
      <c r="R2" s="191" t="s">
        <v>1138</v>
      </c>
      <c r="S2" s="191" t="s">
        <v>1137</v>
      </c>
      <c r="T2" s="191" t="s">
        <v>1136</v>
      </c>
      <c r="U2" s="191" t="s">
        <v>1135</v>
      </c>
      <c r="V2" s="191" t="s">
        <v>1134</v>
      </c>
      <c r="W2" s="191" t="s">
        <v>1133</v>
      </c>
      <c r="X2" s="191" t="s">
        <v>1132</v>
      </c>
      <c r="Y2" s="206" t="s">
        <v>1131</v>
      </c>
      <c r="Z2" s="191" t="s">
        <v>1130</v>
      </c>
      <c r="AA2" s="191" t="s">
        <v>1129</v>
      </c>
      <c r="AB2" s="191" t="s">
        <v>1128</v>
      </c>
    </row>
    <row r="3" spans="1:28" ht="24.75" customHeight="1" x14ac:dyDescent="0.3">
      <c r="C3" s="192"/>
      <c r="E3" s="249" t="s">
        <v>1127</v>
      </c>
      <c r="G3" s="248" t="s">
        <v>1126</v>
      </c>
      <c r="H3" s="248" t="s">
        <v>1125</v>
      </c>
      <c r="J3" s="247"/>
      <c r="O3" s="191" t="s">
        <v>1124</v>
      </c>
      <c r="P3" s="191" t="s">
        <v>1124</v>
      </c>
      <c r="Q3" s="206" t="s">
        <v>1124</v>
      </c>
      <c r="R3" s="206" t="s">
        <v>1123</v>
      </c>
      <c r="S3" s="206" t="s">
        <v>1122</v>
      </c>
      <c r="T3" s="656" t="s">
        <v>1121</v>
      </c>
      <c r="U3" s="206" t="s">
        <v>1120</v>
      </c>
      <c r="V3" s="206" t="s">
        <v>1119</v>
      </c>
      <c r="W3" s="191" t="s">
        <v>1118</v>
      </c>
      <c r="X3" s="206" t="s">
        <v>1117</v>
      </c>
      <c r="Y3" s="191" t="s">
        <v>1116</v>
      </c>
      <c r="Z3" s="656" t="s">
        <v>1115</v>
      </c>
      <c r="AA3" s="656" t="s">
        <v>1114</v>
      </c>
      <c r="AB3" s="206" t="s">
        <v>1104</v>
      </c>
    </row>
    <row r="4" spans="1:28" s="206" customFormat="1" ht="21.75" customHeight="1" thickBot="1" x14ac:dyDescent="0.35">
      <c r="A4" s="240"/>
      <c r="B4" s="240"/>
      <c r="C4" s="246" t="s">
        <v>1113</v>
      </c>
      <c r="D4" s="242"/>
      <c r="E4" s="245" t="s">
        <v>1112</v>
      </c>
      <c r="F4" s="242"/>
      <c r="G4" s="244" t="s">
        <v>1112</v>
      </c>
      <c r="H4" s="243"/>
      <c r="I4" s="242"/>
      <c r="J4" s="241" t="s">
        <v>1111</v>
      </c>
      <c r="K4" s="240"/>
      <c r="O4" s="191" t="s">
        <v>1110</v>
      </c>
      <c r="P4" s="191" t="s">
        <v>1110</v>
      </c>
      <c r="Q4" s="191"/>
      <c r="R4" s="191"/>
      <c r="S4" s="191" t="s">
        <v>1109</v>
      </c>
      <c r="T4" s="191"/>
      <c r="U4" s="191"/>
      <c r="V4" s="191" t="s">
        <v>1108</v>
      </c>
      <c r="W4" s="191" t="s">
        <v>1107</v>
      </c>
      <c r="X4" s="191"/>
      <c r="Y4" s="191"/>
      <c r="Z4" s="191"/>
      <c r="AA4" s="191"/>
      <c r="AB4" s="191" t="s">
        <v>1106</v>
      </c>
    </row>
    <row r="5" spans="1:28" ht="3.75" customHeight="1" x14ac:dyDescent="0.25">
      <c r="A5" s="192"/>
      <c r="C5" s="192"/>
      <c r="E5" s="208"/>
      <c r="G5" s="192"/>
      <c r="J5" s="207"/>
      <c r="V5" s="191" t="s">
        <v>1105</v>
      </c>
      <c r="AB5" s="191" t="s">
        <v>1104</v>
      </c>
    </row>
    <row r="6" spans="1:28" x14ac:dyDescent="0.25">
      <c r="C6" s="239" t="s">
        <v>1103</v>
      </c>
      <c r="D6" s="238"/>
      <c r="E6" s="237"/>
      <c r="F6" s="219"/>
      <c r="G6" s="378"/>
      <c r="H6" s="217" t="s">
        <v>1070</v>
      </c>
      <c r="J6" s="213" t="str">
        <f>IF(G6="","",G6*M76)</f>
        <v/>
      </c>
    </row>
    <row r="7" spans="1:28" ht="3" customHeight="1" x14ac:dyDescent="0.25">
      <c r="A7" s="192"/>
      <c r="C7" s="1057"/>
      <c r="D7" s="1057"/>
      <c r="E7" s="1057"/>
      <c r="F7" s="1057"/>
      <c r="G7" s="1057"/>
      <c r="H7" s="1057"/>
      <c r="I7" s="1057"/>
      <c r="J7" s="1057"/>
    </row>
    <row r="8" spans="1:28" x14ac:dyDescent="0.25">
      <c r="C8" s="232" t="s">
        <v>1102</v>
      </c>
      <c r="D8" s="219"/>
      <c r="E8" s="222"/>
      <c r="F8" s="219"/>
      <c r="G8" s="218"/>
      <c r="H8" s="236" t="s">
        <v>1073</v>
      </c>
      <c r="J8" s="213" t="str">
        <f>IF(G8="","",G8*M77)</f>
        <v/>
      </c>
    </row>
    <row r="9" spans="1:28" ht="3" customHeight="1" x14ac:dyDescent="0.25">
      <c r="A9" s="192"/>
      <c r="C9" s="1057"/>
      <c r="D9" s="1057"/>
      <c r="E9" s="1057"/>
      <c r="F9" s="1057"/>
      <c r="G9" s="1057"/>
      <c r="H9" s="1057"/>
      <c r="I9" s="1057"/>
      <c r="J9" s="1057"/>
      <c r="O9" s="191">
        <f>IF(E12="Timber",M79,0)</f>
        <v>0</v>
      </c>
      <c r="P9" s="191">
        <f>IF(E14="Timber",M82,0)</f>
        <v>0</v>
      </c>
      <c r="Q9" s="191">
        <f>IF(E24="Timber",M89,0)</f>
        <v>0</v>
      </c>
      <c r="R9" s="191">
        <f>IF(E28="Unroofed",M92,0)</f>
        <v>0</v>
      </c>
      <c r="S9" s="191">
        <f>IF(E32="Metal (Kit)",M95,0)</f>
        <v>0</v>
      </c>
      <c r="T9" s="191">
        <f>IF(E34="No new slab",M98,0)</f>
        <v>0</v>
      </c>
      <c r="U9" s="191">
        <f>IF(E36="Brick(1m high)",M100,0)</f>
        <v>0</v>
      </c>
      <c r="V9" s="191">
        <f>IF(E38="Face brick with inserted panels",M102,0)</f>
        <v>0</v>
      </c>
      <c r="W9" s="191">
        <f>IF(E40="Concrete",M106,0)</f>
        <v>0</v>
      </c>
      <c r="X9" s="191">
        <f>IF(E44="1-3 storeys",M109,0)</f>
        <v>0</v>
      </c>
      <c r="Y9" s="191">
        <f>IF(E60="Undercover (no ventilation)",M117,0)</f>
        <v>0</v>
      </c>
      <c r="Z9" s="191">
        <f>IF(E62="1&amp;2 storey",M119,0)</f>
        <v>0</v>
      </c>
      <c r="AA9" s="191">
        <f>IF(E64="1 Storey",M121,0)</f>
        <v>0</v>
      </c>
      <c r="AB9" s="191">
        <f>IF(E74="Precast concrete &lt;1000m2",M127,0)</f>
        <v>0</v>
      </c>
    </row>
    <row r="10" spans="1:28" x14ac:dyDescent="0.25">
      <c r="C10" s="232" t="s">
        <v>1101</v>
      </c>
      <c r="D10" s="219"/>
      <c r="E10" s="235"/>
      <c r="F10" s="219"/>
      <c r="G10" s="218"/>
      <c r="H10" s="217" t="s">
        <v>1070</v>
      </c>
      <c r="J10" s="213" t="str">
        <f>IF(G10="","",G10*M78)</f>
        <v/>
      </c>
      <c r="L10" s="191">
        <f>IF(E12="Select No. Storeys",1,0)</f>
        <v>0</v>
      </c>
      <c r="O10" s="191">
        <f>IF(E12="Brick Veneer",M80,0)</f>
        <v>0</v>
      </c>
      <c r="P10" s="191">
        <f>IF(E14="Brick Veneer",M83,0)</f>
        <v>0</v>
      </c>
      <c r="Q10" s="191">
        <f>IF(E24="Brick Veneer",M89,0)</f>
        <v>0</v>
      </c>
      <c r="R10" s="191">
        <f>IF(E28="Roofed",M93,0)</f>
        <v>0</v>
      </c>
      <c r="S10" s="191">
        <f>IF(E32="Cladded timber frame",M96,0)</f>
        <v>0</v>
      </c>
      <c r="T10" s="191">
        <f>IF(E34="New slab",M99,0)</f>
        <v>0</v>
      </c>
      <c r="U10" s="191">
        <f>IF(E36="Block/Treated Pine (1m high)",M101,0)</f>
        <v>0</v>
      </c>
      <c r="V10" s="191">
        <f>IF(E38="Brushwood 1.8m high",M103,0)</f>
        <v>0</v>
      </c>
      <c r="W10" s="191">
        <f>IF(E40="Fibreglass",M107,0)</f>
        <v>0</v>
      </c>
      <c r="X10" s="191">
        <f>IF(E44="4+ storeys",M110,0)</f>
        <v>0</v>
      </c>
      <c r="Y10" s="191">
        <f>IF(E60="Undercover (ventilated)",M118,0)</f>
        <v>0</v>
      </c>
      <c r="Z10" s="191">
        <f>IF(E62="3+ storeys",M120,0)</f>
        <v>0</v>
      </c>
      <c r="AA10" s="191">
        <f>IF(E64="2+ storeys",M122,0)</f>
        <v>0</v>
      </c>
      <c r="AB10" s="191">
        <f>IF(E74="Precast concrete &gt;1000m2",M128,0)</f>
        <v>0</v>
      </c>
    </row>
    <row r="11" spans="1:28" ht="3" customHeight="1" x14ac:dyDescent="0.25">
      <c r="A11" s="192"/>
      <c r="C11" s="1057"/>
      <c r="D11" s="1057"/>
      <c r="E11" s="1057"/>
      <c r="F11" s="1057"/>
      <c r="G11" s="1057"/>
      <c r="H11" s="1057"/>
      <c r="I11" s="1057"/>
      <c r="J11" s="1057"/>
      <c r="O11" s="191">
        <f>IF(E12="Double Brick",M81,0)</f>
        <v>0</v>
      </c>
      <c r="P11" s="191">
        <f>IF(E14="Double Brick",M84,0)</f>
        <v>0</v>
      </c>
      <c r="S11" s="191">
        <f>IF(E32="Brick",M97,0)</f>
        <v>0</v>
      </c>
      <c r="V11" s="191">
        <f>IF(E38="Pool fence 1.5m high",M104,0)</f>
        <v>0</v>
      </c>
      <c r="W11" s="191">
        <f>IF(E40="Aboveground",M108,0)</f>
        <v>0</v>
      </c>
      <c r="AB11" s="191">
        <f>IF(E74="Metal Walls &lt;1000m2",M129,0)</f>
        <v>0</v>
      </c>
    </row>
    <row r="12" spans="1:28" x14ac:dyDescent="0.25">
      <c r="C12" s="232" t="s">
        <v>1100</v>
      </c>
      <c r="D12" s="219"/>
      <c r="E12" s="234" t="s">
        <v>1096</v>
      </c>
      <c r="F12" s="219"/>
      <c r="G12" s="218"/>
      <c r="H12" s="217" t="s">
        <v>1070</v>
      </c>
      <c r="J12" s="213" t="str">
        <f>IF(G12="","",G12*O14)</f>
        <v/>
      </c>
      <c r="V12" s="191">
        <f>IF(E38="Colourbond 1.8m high",M105,0)</f>
        <v>0</v>
      </c>
      <c r="AB12" s="191">
        <f>IF(E74="Precast concrete &gt;1000m2",M130,0)</f>
        <v>0</v>
      </c>
    </row>
    <row r="13" spans="1:28" ht="3" customHeight="1" x14ac:dyDescent="0.25">
      <c r="A13" s="192"/>
      <c r="C13" s="1057"/>
      <c r="D13" s="1057"/>
      <c r="E13" s="1057"/>
      <c r="F13" s="1057"/>
      <c r="G13" s="1057"/>
      <c r="H13" s="1057"/>
      <c r="I13" s="1057"/>
      <c r="J13" s="1057"/>
    </row>
    <row r="14" spans="1:28" x14ac:dyDescent="0.25">
      <c r="C14" s="232" t="s">
        <v>1099</v>
      </c>
      <c r="D14" s="219"/>
      <c r="E14" s="233" t="s">
        <v>1096</v>
      </c>
      <c r="F14" s="219"/>
      <c r="G14" s="218"/>
      <c r="H14" s="217" t="s">
        <v>1070</v>
      </c>
      <c r="J14" s="213" t="str">
        <f>IF(G14="","",G14*P14)</f>
        <v/>
      </c>
      <c r="O14" s="191">
        <f>SUM(O9:O11)</f>
        <v>0</v>
      </c>
      <c r="P14" s="191">
        <f>SUM(P9:P11)</f>
        <v>0</v>
      </c>
      <c r="Q14" s="191">
        <f>SUM(Q9:Q10)</f>
        <v>0</v>
      </c>
      <c r="R14" s="191">
        <f>SUM(R9:R10)</f>
        <v>0</v>
      </c>
      <c r="S14" s="191">
        <f>SUM(S9:S11)</f>
        <v>0</v>
      </c>
      <c r="T14" s="191">
        <f>SUM(T9:T10)</f>
        <v>0</v>
      </c>
      <c r="U14" s="191">
        <f>SUM(U9:U10)</f>
        <v>0</v>
      </c>
      <c r="V14" s="191">
        <f>SUM(V9:V12)</f>
        <v>0</v>
      </c>
      <c r="W14" s="191">
        <f>SUM(W9:W11)</f>
        <v>0</v>
      </c>
      <c r="X14" s="191">
        <f>SUM(X9:X10)</f>
        <v>0</v>
      </c>
      <c r="Y14" s="191">
        <f>SUM(Y9,Y10)</f>
        <v>0</v>
      </c>
      <c r="Z14" s="191">
        <f>SUM(Z9,Z10)</f>
        <v>0</v>
      </c>
      <c r="AA14" s="191">
        <f>SUM(AA9,AA10)</f>
        <v>0</v>
      </c>
      <c r="AB14" s="191">
        <f>SUM(AB9:AB12)</f>
        <v>0</v>
      </c>
    </row>
    <row r="15" spans="1:28" ht="3" customHeight="1" x14ac:dyDescent="0.25">
      <c r="A15" s="192"/>
      <c r="C15" s="1057"/>
      <c r="D15" s="1057"/>
      <c r="E15" s="1057"/>
      <c r="F15" s="1057"/>
      <c r="G15" s="1057"/>
      <c r="H15" s="1057"/>
      <c r="I15" s="1057"/>
      <c r="J15" s="1057"/>
    </row>
    <row r="16" spans="1:28" x14ac:dyDescent="0.25">
      <c r="C16" s="232" t="s">
        <v>1059</v>
      </c>
      <c r="D16" s="219"/>
      <c r="E16" s="222"/>
      <c r="F16" s="219"/>
      <c r="G16" s="218"/>
      <c r="H16" s="217" t="s">
        <v>1070</v>
      </c>
      <c r="J16" s="213" t="str">
        <f>IF(G16="","",G16*M85)</f>
        <v/>
      </c>
    </row>
    <row r="17" spans="1:10" ht="2.25" customHeight="1" x14ac:dyDescent="0.25">
      <c r="A17" s="192"/>
      <c r="C17" s="1057"/>
      <c r="D17" s="1057"/>
      <c r="E17" s="1057"/>
      <c r="F17" s="1057"/>
      <c r="G17" s="1057"/>
      <c r="H17" s="1057"/>
      <c r="I17" s="1057"/>
      <c r="J17" s="1057"/>
    </row>
    <row r="18" spans="1:10" x14ac:dyDescent="0.25">
      <c r="C18" s="232" t="s">
        <v>1058</v>
      </c>
      <c r="D18" s="219"/>
      <c r="E18" s="222"/>
      <c r="F18" s="219"/>
      <c r="G18" s="218"/>
      <c r="H18" s="217" t="s">
        <v>1073</v>
      </c>
      <c r="J18" s="213" t="str">
        <f>IF(G18="","",G18*M86)</f>
        <v/>
      </c>
    </row>
    <row r="19" spans="1:10" ht="2.25" customHeight="1" x14ac:dyDescent="0.25">
      <c r="A19" s="192"/>
      <c r="C19" s="1057"/>
      <c r="D19" s="1057"/>
      <c r="E19" s="1057"/>
      <c r="F19" s="1057"/>
      <c r="G19" s="1057"/>
      <c r="H19" s="1057"/>
      <c r="I19" s="1057"/>
      <c r="J19" s="1057"/>
    </row>
    <row r="20" spans="1:10" x14ac:dyDescent="0.25">
      <c r="C20" s="232" t="s">
        <v>1057</v>
      </c>
      <c r="D20" s="219"/>
      <c r="E20" s="222"/>
      <c r="F20" s="219"/>
      <c r="G20" s="218"/>
      <c r="H20" s="217" t="s">
        <v>1073</v>
      </c>
      <c r="J20" s="213" t="str">
        <f>IF(G20="","",G20*M87)</f>
        <v/>
      </c>
    </row>
    <row r="21" spans="1:10" ht="2.25" customHeight="1" x14ac:dyDescent="0.25">
      <c r="A21" s="192"/>
      <c r="C21" s="1057"/>
      <c r="D21" s="1057"/>
      <c r="E21" s="1057"/>
      <c r="F21" s="1057"/>
      <c r="G21" s="1057"/>
      <c r="H21" s="1057"/>
      <c r="I21" s="1057"/>
      <c r="J21" s="1057"/>
    </row>
    <row r="22" spans="1:10" x14ac:dyDescent="0.25">
      <c r="C22" s="232" t="s">
        <v>1056</v>
      </c>
      <c r="D22" s="219"/>
      <c r="E22" s="222"/>
      <c r="F22" s="219"/>
      <c r="G22" s="218"/>
      <c r="H22" s="217" t="s">
        <v>1098</v>
      </c>
      <c r="J22" s="213" t="str">
        <f>IF(G22="","",G22*M88)</f>
        <v/>
      </c>
    </row>
    <row r="23" spans="1:10" ht="2.25" customHeight="1" x14ac:dyDescent="0.25">
      <c r="A23" s="192"/>
      <c r="C23" s="1057"/>
      <c r="D23" s="1057"/>
      <c r="E23" s="1057"/>
      <c r="F23" s="1057"/>
      <c r="G23" s="1057"/>
      <c r="H23" s="1057"/>
      <c r="I23" s="1057"/>
      <c r="J23" s="1057"/>
    </row>
    <row r="24" spans="1:10" x14ac:dyDescent="0.25">
      <c r="C24" s="232" t="s">
        <v>1097</v>
      </c>
      <c r="D24" s="219"/>
      <c r="E24" s="220" t="s">
        <v>1096</v>
      </c>
      <c r="F24" s="219"/>
      <c r="G24" s="218"/>
      <c r="H24" s="217" t="s">
        <v>1073</v>
      </c>
      <c r="J24" s="213" t="str">
        <f>IF(G24="","",G24*Q14)</f>
        <v/>
      </c>
    </row>
    <row r="25" spans="1:10" ht="2.25" customHeight="1" x14ac:dyDescent="0.25">
      <c r="A25" s="192"/>
      <c r="C25" s="1057"/>
      <c r="D25" s="1057"/>
      <c r="E25" s="1057"/>
      <c r="F25" s="1057"/>
      <c r="G25" s="1057"/>
      <c r="H25" s="1057"/>
      <c r="I25" s="1057"/>
      <c r="J25" s="1057"/>
    </row>
    <row r="26" spans="1:10" x14ac:dyDescent="0.25">
      <c r="C26" s="232" t="s">
        <v>1053</v>
      </c>
      <c r="D26" s="219"/>
      <c r="E26" s="222"/>
      <c r="F26" s="219"/>
      <c r="G26" s="218"/>
      <c r="H26" s="217" t="s">
        <v>1073</v>
      </c>
      <c r="J26" s="213" t="str">
        <f>IF(G26="","",G26*M91)</f>
        <v/>
      </c>
    </row>
    <row r="27" spans="1:10" ht="2.25" customHeight="1" x14ac:dyDescent="0.25">
      <c r="A27" s="192"/>
      <c r="C27" s="1057"/>
      <c r="D27" s="1057"/>
      <c r="E27" s="1057"/>
      <c r="F27" s="1057"/>
      <c r="G27" s="1057"/>
      <c r="H27" s="1057"/>
      <c r="I27" s="1057"/>
      <c r="J27" s="1057"/>
    </row>
    <row r="28" spans="1:10" x14ac:dyDescent="0.25">
      <c r="C28" s="232" t="s">
        <v>1095</v>
      </c>
      <c r="D28" s="219"/>
      <c r="E28" s="220" t="s">
        <v>1094</v>
      </c>
      <c r="F28" s="219"/>
      <c r="G28" s="218"/>
      <c r="H28" s="217" t="s">
        <v>1073</v>
      </c>
      <c r="J28" s="213" t="str">
        <f>IF(G28="","",G28*R14)</f>
        <v/>
      </c>
    </row>
    <row r="29" spans="1:10" ht="2.25" customHeight="1" x14ac:dyDescent="0.25">
      <c r="A29" s="192"/>
      <c r="C29" s="1057"/>
      <c r="D29" s="1057"/>
      <c r="E29" s="1057"/>
      <c r="F29" s="1057"/>
      <c r="G29" s="1057"/>
      <c r="H29" s="1057"/>
      <c r="I29" s="1057"/>
      <c r="J29" s="1057"/>
    </row>
    <row r="30" spans="1:10" x14ac:dyDescent="0.25">
      <c r="C30" s="232" t="s">
        <v>1050</v>
      </c>
      <c r="D30" s="219"/>
      <c r="E30" s="222"/>
      <c r="F30" s="219"/>
      <c r="G30" s="218"/>
      <c r="H30" s="217" t="s">
        <v>1070</v>
      </c>
      <c r="J30" s="213" t="str">
        <f>IF(G30="","",G30*M94)</f>
        <v/>
      </c>
    </row>
    <row r="31" spans="1:10" ht="2.25" customHeight="1" x14ac:dyDescent="0.25">
      <c r="A31" s="192"/>
      <c r="C31" s="1057"/>
      <c r="D31" s="1057"/>
      <c r="E31" s="1057"/>
      <c r="F31" s="1057"/>
      <c r="G31" s="1057"/>
      <c r="H31" s="1057"/>
      <c r="I31" s="1057"/>
      <c r="J31" s="1057"/>
    </row>
    <row r="32" spans="1:10" x14ac:dyDescent="0.25">
      <c r="C32" s="232" t="s">
        <v>1093</v>
      </c>
      <c r="D32" s="219"/>
      <c r="E32" s="220" t="s">
        <v>1071</v>
      </c>
      <c r="F32" s="219"/>
      <c r="G32" s="218"/>
      <c r="H32" s="217" t="s">
        <v>1070</v>
      </c>
      <c r="J32" s="213" t="str">
        <f>IF(G32="","",G32*S14)</f>
        <v/>
      </c>
    </row>
    <row r="33" spans="1:10" ht="2.25" customHeight="1" x14ac:dyDescent="0.25">
      <c r="A33" s="192"/>
      <c r="C33" s="1057"/>
      <c r="D33" s="1057"/>
      <c r="E33" s="1057"/>
      <c r="F33" s="1057"/>
      <c r="G33" s="1057"/>
      <c r="H33" s="1057"/>
      <c r="I33" s="1057"/>
      <c r="J33" s="1057"/>
    </row>
    <row r="34" spans="1:10" x14ac:dyDescent="0.25">
      <c r="C34" s="232" t="s">
        <v>1092</v>
      </c>
      <c r="D34" s="219"/>
      <c r="E34" s="220" t="s">
        <v>1091</v>
      </c>
      <c r="F34" s="219"/>
      <c r="G34" s="218"/>
      <c r="H34" s="217" t="s">
        <v>1073</v>
      </c>
      <c r="J34" s="213" t="str">
        <f>IF(G34="","",G34*T14)</f>
        <v/>
      </c>
    </row>
    <row r="35" spans="1:10" ht="2.25" customHeight="1" x14ac:dyDescent="0.25">
      <c r="A35" s="192"/>
      <c r="C35" s="1057"/>
      <c r="D35" s="1057"/>
      <c r="E35" s="1057"/>
      <c r="F35" s="1057"/>
      <c r="G35" s="1057"/>
      <c r="H35" s="1057"/>
      <c r="I35" s="1057"/>
      <c r="J35" s="1057"/>
    </row>
    <row r="36" spans="1:10" x14ac:dyDescent="0.25">
      <c r="C36" s="232" t="s">
        <v>1090</v>
      </c>
      <c r="D36" s="219"/>
      <c r="E36" s="220" t="s">
        <v>1071</v>
      </c>
      <c r="F36" s="219"/>
      <c r="G36" s="218"/>
      <c r="H36" s="217" t="s">
        <v>1087</v>
      </c>
      <c r="J36" s="213" t="str">
        <f>IF(G36="","",G36*U14)</f>
        <v/>
      </c>
    </row>
    <row r="37" spans="1:10" ht="2.25" customHeight="1" x14ac:dyDescent="0.25">
      <c r="A37" s="192"/>
      <c r="C37" s="1057"/>
      <c r="D37" s="1057"/>
      <c r="E37" s="1057"/>
      <c r="F37" s="1057"/>
      <c r="G37" s="1057"/>
      <c r="H37" s="1057"/>
      <c r="I37" s="1057"/>
      <c r="J37" s="1057"/>
    </row>
    <row r="38" spans="1:10" x14ac:dyDescent="0.25">
      <c r="C38" s="232" t="s">
        <v>1089</v>
      </c>
      <c r="D38" s="219"/>
      <c r="E38" s="220" t="s">
        <v>1088</v>
      </c>
      <c r="F38" s="219"/>
      <c r="G38" s="218"/>
      <c r="H38" s="217" t="s">
        <v>1087</v>
      </c>
      <c r="J38" s="213" t="str">
        <f>IF(G38="","",G38*V14)</f>
        <v/>
      </c>
    </row>
    <row r="39" spans="1:10" ht="2.25" customHeight="1" x14ac:dyDescent="0.25">
      <c r="A39" s="192"/>
      <c r="C39" s="1057"/>
      <c r="D39" s="1057"/>
      <c r="E39" s="1057"/>
      <c r="F39" s="1057"/>
      <c r="G39" s="1057"/>
      <c r="H39" s="1057"/>
      <c r="I39" s="1057"/>
      <c r="J39" s="1057"/>
    </row>
    <row r="40" spans="1:10" x14ac:dyDescent="0.25">
      <c r="C40" s="232" t="s">
        <v>1086</v>
      </c>
      <c r="D40" s="219"/>
      <c r="E40" s="220" t="s">
        <v>1085</v>
      </c>
      <c r="F40" s="219"/>
      <c r="G40" s="231"/>
      <c r="H40" s="230"/>
      <c r="J40" s="213" t="str">
        <f>IF(W14=0,"",W14)</f>
        <v/>
      </c>
    </row>
    <row r="41" spans="1:10" ht="27.75" customHeight="1" x14ac:dyDescent="0.25">
      <c r="A41" s="192"/>
      <c r="C41" s="1057"/>
      <c r="D41" s="1057"/>
      <c r="E41" s="1057"/>
      <c r="F41" s="1057"/>
      <c r="G41" s="1057"/>
      <c r="H41" s="1057"/>
      <c r="I41" s="1057"/>
      <c r="J41" s="1057"/>
    </row>
    <row r="42" spans="1:10" ht="19.5" thickBot="1" x14ac:dyDescent="0.35">
      <c r="C42" s="1058" t="s">
        <v>1084</v>
      </c>
      <c r="D42" s="1059"/>
      <c r="E42" s="1059"/>
      <c r="F42" s="1059"/>
      <c r="G42" s="1059"/>
      <c r="H42" s="1059"/>
      <c r="I42" s="1059"/>
      <c r="J42" s="1059"/>
    </row>
    <row r="43" spans="1:10" ht="3" customHeight="1" x14ac:dyDescent="0.25">
      <c r="A43" s="192"/>
      <c r="C43" s="1057"/>
      <c r="D43" s="1057"/>
      <c r="E43" s="1057"/>
      <c r="F43" s="1057"/>
      <c r="G43" s="1057"/>
      <c r="H43" s="1057"/>
      <c r="I43" s="1057"/>
      <c r="J43" s="1057"/>
    </row>
    <row r="44" spans="1:10" x14ac:dyDescent="0.25">
      <c r="C44" s="221" t="s">
        <v>1083</v>
      </c>
      <c r="D44" s="219"/>
      <c r="E44" s="220" t="s">
        <v>1074</v>
      </c>
      <c r="F44" s="219"/>
      <c r="G44" s="218"/>
      <c r="H44" s="217" t="s">
        <v>1070</v>
      </c>
      <c r="J44" s="213" t="str">
        <f>IF(G44="","",G44*X14)</f>
        <v/>
      </c>
    </row>
    <row r="45" spans="1:10" ht="2.25" customHeight="1" x14ac:dyDescent="0.25">
      <c r="A45" s="192"/>
      <c r="C45" s="1057"/>
      <c r="D45" s="1057"/>
      <c r="E45" s="1057"/>
      <c r="F45" s="1057"/>
      <c r="G45" s="1057"/>
      <c r="H45" s="1057"/>
      <c r="I45" s="1057"/>
      <c r="J45" s="1057"/>
    </row>
    <row r="46" spans="1:10" x14ac:dyDescent="0.25">
      <c r="C46" s="221" t="s">
        <v>1033</v>
      </c>
      <c r="D46" s="219"/>
      <c r="E46" s="222"/>
      <c r="F46" s="219"/>
      <c r="G46" s="218"/>
      <c r="H46" s="217" t="s">
        <v>1070</v>
      </c>
      <c r="J46" s="213" t="str">
        <f>IF(G46="","",G46*M100)</f>
        <v/>
      </c>
    </row>
    <row r="47" spans="1:10" ht="2.25" customHeight="1" x14ac:dyDescent="0.25">
      <c r="A47" s="192"/>
      <c r="C47" s="1057"/>
      <c r="D47" s="1057"/>
      <c r="E47" s="1057"/>
      <c r="F47" s="1057"/>
      <c r="G47" s="1057"/>
      <c r="H47" s="1057"/>
      <c r="I47" s="1057"/>
      <c r="J47" s="1057"/>
    </row>
    <row r="48" spans="1:10" x14ac:dyDescent="0.25">
      <c r="C48" s="221" t="s">
        <v>1082</v>
      </c>
      <c r="D48" s="219"/>
      <c r="E48" s="222"/>
      <c r="F48" s="219"/>
      <c r="G48" s="218"/>
      <c r="H48" s="217" t="s">
        <v>1070</v>
      </c>
      <c r="J48" s="213" t="str">
        <f>IF(G48="","",G48*M101)</f>
        <v/>
      </c>
    </row>
    <row r="49" spans="1:10" ht="3" customHeight="1" x14ac:dyDescent="0.25">
      <c r="A49" s="192"/>
      <c r="C49" s="1057"/>
      <c r="D49" s="1057"/>
      <c r="E49" s="1057"/>
      <c r="F49" s="1057"/>
      <c r="G49" s="1057"/>
      <c r="H49" s="1057"/>
      <c r="I49" s="1057"/>
      <c r="J49" s="1057"/>
    </row>
    <row r="50" spans="1:10" x14ac:dyDescent="0.25">
      <c r="C50" s="221" t="s">
        <v>1032</v>
      </c>
      <c r="D50" s="219"/>
      <c r="E50" s="222"/>
      <c r="F50" s="219"/>
      <c r="G50" s="218"/>
      <c r="H50" s="217" t="s">
        <v>1070</v>
      </c>
      <c r="J50" s="213" t="str">
        <f>IF(G50="","",G50*M102)</f>
        <v/>
      </c>
    </row>
    <row r="51" spans="1:10" ht="2.25" customHeight="1" x14ac:dyDescent="0.25">
      <c r="A51" s="192"/>
      <c r="C51" s="1057"/>
      <c r="D51" s="1057"/>
      <c r="E51" s="1057"/>
      <c r="F51" s="1057"/>
      <c r="G51" s="1057"/>
      <c r="H51" s="1057"/>
      <c r="I51" s="1057"/>
      <c r="J51" s="1057"/>
    </row>
    <row r="52" spans="1:10" x14ac:dyDescent="0.25">
      <c r="C52" s="221" t="s">
        <v>1031</v>
      </c>
      <c r="D52" s="219"/>
      <c r="E52" s="222"/>
      <c r="F52" s="219"/>
      <c r="G52" s="218"/>
      <c r="H52" s="217" t="s">
        <v>1070</v>
      </c>
      <c r="J52" s="213" t="str">
        <f>IF(G52="","",G52*M103)</f>
        <v/>
      </c>
    </row>
    <row r="53" spans="1:10" ht="3" customHeight="1" x14ac:dyDescent="0.25">
      <c r="A53" s="192"/>
      <c r="C53" s="1057"/>
      <c r="D53" s="1057"/>
      <c r="E53" s="1057"/>
      <c r="F53" s="1057"/>
      <c r="G53" s="1057"/>
      <c r="H53" s="1057"/>
      <c r="I53" s="1057"/>
      <c r="J53" s="1057"/>
    </row>
    <row r="54" spans="1:10" x14ac:dyDescent="0.25">
      <c r="A54" s="192"/>
      <c r="C54" s="221" t="s">
        <v>1030</v>
      </c>
      <c r="D54" s="219"/>
      <c r="E54" s="222"/>
      <c r="F54" s="219"/>
      <c r="G54" s="218"/>
      <c r="H54" s="217" t="s">
        <v>1081</v>
      </c>
      <c r="J54" s="213" t="str">
        <f>IF(G54="","",G54*M104)</f>
        <v/>
      </c>
    </row>
    <row r="55" spans="1:10" ht="3" customHeight="1" x14ac:dyDescent="0.25">
      <c r="A55" s="192"/>
      <c r="C55" s="1057"/>
      <c r="D55" s="1057"/>
      <c r="E55" s="1057"/>
      <c r="F55" s="1057"/>
      <c r="G55" s="1057"/>
      <c r="H55" s="1057"/>
      <c r="I55" s="1057"/>
      <c r="J55" s="1057"/>
    </row>
    <row r="56" spans="1:10" x14ac:dyDescent="0.25">
      <c r="C56" s="221" t="s">
        <v>1029</v>
      </c>
      <c r="D56" s="219"/>
      <c r="E56" s="222"/>
      <c r="F56" s="219"/>
      <c r="G56" s="218"/>
      <c r="H56" s="217" t="s">
        <v>1073</v>
      </c>
      <c r="J56" s="213" t="str">
        <f>IF(G56="","",G56*M105)</f>
        <v/>
      </c>
    </row>
    <row r="57" spans="1:10" ht="3" customHeight="1" x14ac:dyDescent="0.25">
      <c r="A57" s="192"/>
      <c r="C57" s="1057"/>
      <c r="D57" s="1057"/>
      <c r="E57" s="1057"/>
      <c r="F57" s="1057"/>
      <c r="G57" s="1057"/>
      <c r="H57" s="1057"/>
      <c r="I57" s="1057"/>
      <c r="J57" s="1057"/>
    </row>
    <row r="58" spans="1:10" x14ac:dyDescent="0.25">
      <c r="C58" s="229" t="s">
        <v>1080</v>
      </c>
      <c r="D58" s="227"/>
      <c r="E58" s="228"/>
      <c r="F58" s="227"/>
      <c r="G58" s="226"/>
      <c r="H58" s="225" t="s">
        <v>1079</v>
      </c>
      <c r="I58" s="223"/>
      <c r="J58" s="213" t="str">
        <f>IF(G58="","",G58*M116)</f>
        <v/>
      </c>
    </row>
    <row r="59" spans="1:10" ht="3" customHeight="1" x14ac:dyDescent="0.25">
      <c r="A59" s="192"/>
      <c r="C59" s="223"/>
      <c r="D59" s="223"/>
      <c r="E59" s="224"/>
      <c r="F59" s="223"/>
      <c r="G59" s="223"/>
      <c r="H59" s="223"/>
      <c r="I59" s="223"/>
      <c r="J59" s="223"/>
    </row>
    <row r="60" spans="1:10" x14ac:dyDescent="0.25">
      <c r="C60" s="221" t="s">
        <v>1078</v>
      </c>
      <c r="D60" s="219"/>
      <c r="E60" s="220" t="s">
        <v>1077</v>
      </c>
      <c r="F60" s="219"/>
      <c r="G60" s="218"/>
      <c r="H60" s="217" t="s">
        <v>1073</v>
      </c>
      <c r="J60" s="213" t="str">
        <f>IF(G60="","",G60*Y14)</f>
        <v/>
      </c>
    </row>
    <row r="61" spans="1:10" ht="3" customHeight="1" x14ac:dyDescent="0.25">
      <c r="A61" s="192"/>
      <c r="C61" s="1057"/>
      <c r="D61" s="1057"/>
      <c r="E61" s="1057"/>
      <c r="F61" s="1057"/>
      <c r="G61" s="1057"/>
      <c r="H61" s="1057"/>
      <c r="I61" s="1057"/>
      <c r="J61" s="1057"/>
    </row>
    <row r="62" spans="1:10" x14ac:dyDescent="0.25">
      <c r="C62" s="221" t="s">
        <v>1076</v>
      </c>
      <c r="D62" s="219"/>
      <c r="E62" s="220" t="s">
        <v>1074</v>
      </c>
      <c r="F62" s="219"/>
      <c r="G62" s="218"/>
      <c r="H62" s="217" t="s">
        <v>1070</v>
      </c>
      <c r="J62" s="213" t="str">
        <f>IF(G62="","",G62*Z14)</f>
        <v/>
      </c>
    </row>
    <row r="63" spans="1:10" ht="2.25" customHeight="1" x14ac:dyDescent="0.25">
      <c r="A63" s="192"/>
      <c r="C63" s="1057"/>
      <c r="D63" s="1057"/>
      <c r="E63" s="1057"/>
      <c r="F63" s="1057"/>
      <c r="G63" s="1057"/>
      <c r="H63" s="1057"/>
      <c r="I63" s="1057"/>
      <c r="J63" s="1057"/>
    </row>
    <row r="64" spans="1:10" x14ac:dyDescent="0.25">
      <c r="C64" s="221" t="s">
        <v>1075</v>
      </c>
      <c r="D64" s="219"/>
      <c r="E64" s="220" t="s">
        <v>1074</v>
      </c>
      <c r="F64" s="219"/>
      <c r="G64" s="218"/>
      <c r="H64" s="217" t="s">
        <v>1073</v>
      </c>
      <c r="J64" s="213" t="str">
        <f>IF(G64="","",G64*AA14)</f>
        <v/>
      </c>
    </row>
    <row r="65" spans="1:28" ht="3" customHeight="1" x14ac:dyDescent="0.25">
      <c r="A65" s="192"/>
      <c r="C65" s="1057"/>
      <c r="D65" s="1057"/>
      <c r="E65" s="1057"/>
      <c r="F65" s="1057"/>
      <c r="G65" s="1057"/>
      <c r="H65" s="1057"/>
      <c r="I65" s="1057"/>
      <c r="J65" s="1057"/>
    </row>
    <row r="66" spans="1:28" x14ac:dyDescent="0.25">
      <c r="C66" s="221" t="s">
        <v>1021</v>
      </c>
      <c r="D66" s="219"/>
      <c r="E66" s="222"/>
      <c r="F66" s="219"/>
      <c r="G66" s="218"/>
      <c r="H66" s="217" t="s">
        <v>1070</v>
      </c>
      <c r="J66" s="213" t="str">
        <f>IF(G66="","",G66*M123)</f>
        <v/>
      </c>
    </row>
    <row r="67" spans="1:28" ht="3" customHeight="1" x14ac:dyDescent="0.25">
      <c r="A67" s="192"/>
      <c r="C67" s="1057"/>
      <c r="D67" s="1057"/>
      <c r="E67" s="1057"/>
      <c r="F67" s="1057"/>
      <c r="G67" s="1057"/>
      <c r="H67" s="1057"/>
      <c r="I67" s="1057"/>
      <c r="J67" s="1057"/>
    </row>
    <row r="68" spans="1:28" x14ac:dyDescent="0.25">
      <c r="C68" s="221" t="s">
        <v>1020</v>
      </c>
      <c r="D68" s="219"/>
      <c r="E68" s="222"/>
      <c r="F68" s="219"/>
      <c r="G68" s="218"/>
      <c r="H68" s="217" t="s">
        <v>1070</v>
      </c>
      <c r="J68" s="213" t="str">
        <f>IF(G68="","",G68*M124)</f>
        <v/>
      </c>
    </row>
    <row r="69" spans="1:28" ht="3" customHeight="1" x14ac:dyDescent="0.25">
      <c r="A69" s="192"/>
      <c r="C69" s="1057"/>
      <c r="D69" s="1057"/>
      <c r="E69" s="1057"/>
      <c r="F69" s="1057"/>
      <c r="G69" s="1057"/>
      <c r="H69" s="1057"/>
      <c r="I69" s="1057"/>
      <c r="J69" s="1057"/>
      <c r="Y69" s="216"/>
    </row>
    <row r="70" spans="1:28" x14ac:dyDescent="0.25">
      <c r="C70" s="221" t="s">
        <v>1019</v>
      </c>
      <c r="D70" s="219"/>
      <c r="E70" s="222"/>
      <c r="F70" s="219"/>
      <c r="G70" s="218"/>
      <c r="H70" s="217" t="s">
        <v>1070</v>
      </c>
      <c r="J70" s="213" t="str">
        <f>IF(G70="","",G70*M125)</f>
        <v/>
      </c>
    </row>
    <row r="71" spans="1:28" ht="3" customHeight="1" x14ac:dyDescent="0.25">
      <c r="C71" s="1057"/>
      <c r="D71" s="1057"/>
      <c r="E71" s="1057"/>
      <c r="F71" s="1057"/>
      <c r="G71" s="1057"/>
      <c r="H71" s="1057"/>
      <c r="I71" s="1057"/>
      <c r="J71" s="1057"/>
    </row>
    <row r="72" spans="1:28" x14ac:dyDescent="0.25">
      <c r="C72" s="221" t="s">
        <v>1018</v>
      </c>
      <c r="D72" s="219"/>
      <c r="E72" s="222"/>
      <c r="F72" s="219"/>
      <c r="G72" s="218"/>
      <c r="H72" s="217" t="s">
        <v>1073</v>
      </c>
      <c r="J72" s="213" t="str">
        <f>IF(G72="","",G72*M126)</f>
        <v/>
      </c>
    </row>
    <row r="73" spans="1:28" ht="2.25" customHeight="1" x14ac:dyDescent="0.25">
      <c r="C73" s="1057"/>
      <c r="D73" s="1057"/>
      <c r="E73" s="1057"/>
      <c r="F73" s="1057"/>
      <c r="G73" s="1057"/>
      <c r="H73" s="1057"/>
      <c r="I73" s="1057"/>
      <c r="J73" s="1057"/>
    </row>
    <row r="74" spans="1:28" s="216" customFormat="1" x14ac:dyDescent="0.25">
      <c r="A74" s="190"/>
      <c r="B74" s="192"/>
      <c r="C74" s="221" t="s">
        <v>1072</v>
      </c>
      <c r="D74" s="219"/>
      <c r="E74" s="220" t="s">
        <v>1071</v>
      </c>
      <c r="F74" s="219"/>
      <c r="G74" s="218"/>
      <c r="H74" s="217" t="s">
        <v>1070</v>
      </c>
      <c r="I74" s="192"/>
      <c r="J74" s="213" t="str">
        <f>IF(G74="","",G74*AB14)</f>
        <v/>
      </c>
      <c r="K74" s="192"/>
      <c r="P74" s="191"/>
      <c r="Q74" s="191"/>
      <c r="R74" s="191"/>
      <c r="S74" s="191"/>
      <c r="T74" s="191"/>
      <c r="U74" s="191"/>
      <c r="V74" s="191"/>
      <c r="W74" s="191"/>
      <c r="X74" s="191"/>
      <c r="Y74" s="191"/>
      <c r="Z74" s="191"/>
      <c r="AA74" s="191"/>
      <c r="AB74" s="191"/>
    </row>
    <row r="75" spans="1:28" ht="12" customHeight="1" x14ac:dyDescent="0.25">
      <c r="C75" s="192"/>
      <c r="E75" s="208"/>
      <c r="G75" s="192"/>
      <c r="J75" s="207"/>
    </row>
    <row r="76" spans="1:28" ht="18.75" x14ac:dyDescent="0.3">
      <c r="C76" s="214"/>
      <c r="D76" s="214"/>
      <c r="E76" s="215"/>
      <c r="F76" s="214"/>
      <c r="G76" s="214"/>
      <c r="H76" s="214" t="s">
        <v>1069</v>
      </c>
      <c r="J76" s="213">
        <f>SUM(J6:J74)</f>
        <v>0</v>
      </c>
      <c r="K76" s="210"/>
      <c r="L76" s="191" t="s">
        <v>1068</v>
      </c>
      <c r="M76" s="191">
        <v>830</v>
      </c>
    </row>
    <row r="77" spans="1:28" ht="7.5" customHeight="1" x14ac:dyDescent="0.25">
      <c r="C77" s="1057"/>
      <c r="D77" s="1057"/>
      <c r="E77" s="1057"/>
      <c r="F77" s="1057"/>
      <c r="G77" s="1057"/>
      <c r="H77" s="1057"/>
      <c r="I77" s="1057"/>
      <c r="J77" s="1057"/>
      <c r="L77" s="191" t="s">
        <v>1067</v>
      </c>
      <c r="M77" s="191">
        <v>1000</v>
      </c>
    </row>
    <row r="78" spans="1:28" hidden="1" x14ac:dyDescent="0.25">
      <c r="B78" s="210"/>
      <c r="C78" s="210"/>
      <c r="D78" s="210"/>
      <c r="E78" s="212"/>
      <c r="F78" s="210"/>
      <c r="G78" s="210"/>
      <c r="H78" s="211"/>
      <c r="I78" s="210"/>
      <c r="J78" s="209"/>
      <c r="L78" s="191" t="s">
        <v>1066</v>
      </c>
      <c r="M78" s="191">
        <v>1110</v>
      </c>
    </row>
    <row r="79" spans="1:28" hidden="1" x14ac:dyDescent="0.25">
      <c r="C79" s="192"/>
      <c r="E79" s="208"/>
      <c r="G79" s="192"/>
      <c r="J79" s="207"/>
      <c r="L79" s="191" t="s">
        <v>1065</v>
      </c>
      <c r="M79" s="191">
        <v>1480</v>
      </c>
    </row>
    <row r="80" spans="1:28" hidden="1" x14ac:dyDescent="0.25">
      <c r="C80" s="192"/>
      <c r="E80" s="208"/>
      <c r="G80" s="192"/>
      <c r="J80" s="207"/>
      <c r="L80" s="191" t="s">
        <v>1064</v>
      </c>
      <c r="M80" s="191">
        <v>1610</v>
      </c>
    </row>
    <row r="81" spans="3:13" hidden="1" x14ac:dyDescent="0.25">
      <c r="C81" s="192"/>
      <c r="E81" s="208"/>
      <c r="G81" s="192"/>
      <c r="J81" s="207"/>
      <c r="L81" s="191" t="s">
        <v>1063</v>
      </c>
      <c r="M81" s="191">
        <v>1680</v>
      </c>
    </row>
    <row r="82" spans="3:13" hidden="1" x14ac:dyDescent="0.25">
      <c r="L82" s="191" t="s">
        <v>1062</v>
      </c>
      <c r="M82" s="191">
        <v>2050</v>
      </c>
    </row>
    <row r="83" spans="3:13" hidden="1" x14ac:dyDescent="0.25">
      <c r="L83" s="191" t="s">
        <v>1061</v>
      </c>
      <c r="M83" s="191">
        <v>2250</v>
      </c>
    </row>
    <row r="84" spans="3:13" hidden="1" x14ac:dyDescent="0.25">
      <c r="L84" s="191" t="s">
        <v>1060</v>
      </c>
      <c r="M84" s="191">
        <v>2310</v>
      </c>
    </row>
    <row r="85" spans="3:13" hidden="1" x14ac:dyDescent="0.25">
      <c r="L85" s="191" t="s">
        <v>1059</v>
      </c>
      <c r="M85" s="191">
        <v>1000</v>
      </c>
    </row>
    <row r="86" spans="3:13" hidden="1" x14ac:dyDescent="0.25">
      <c r="L86" s="191" t="s">
        <v>1058</v>
      </c>
      <c r="M86" s="191">
        <v>1620</v>
      </c>
    </row>
    <row r="87" spans="3:13" hidden="1" x14ac:dyDescent="0.25">
      <c r="L87" s="191" t="s">
        <v>1057</v>
      </c>
      <c r="M87" s="191">
        <v>1010</v>
      </c>
    </row>
    <row r="88" spans="3:13" hidden="1" x14ac:dyDescent="0.25">
      <c r="L88" s="191" t="s">
        <v>1056</v>
      </c>
      <c r="M88" s="191">
        <v>1850</v>
      </c>
    </row>
    <row r="89" spans="3:13" hidden="1" x14ac:dyDescent="0.25">
      <c r="L89" s="191" t="s">
        <v>1055</v>
      </c>
      <c r="M89" s="191">
        <v>1350</v>
      </c>
    </row>
    <row r="90" spans="3:13" hidden="1" x14ac:dyDescent="0.25">
      <c r="L90" s="191" t="s">
        <v>1054</v>
      </c>
      <c r="M90" s="191">
        <v>1500</v>
      </c>
    </row>
    <row r="91" spans="3:13" hidden="1" x14ac:dyDescent="0.25">
      <c r="L91" s="191" t="s">
        <v>1053</v>
      </c>
      <c r="M91" s="191">
        <v>2090</v>
      </c>
    </row>
    <row r="92" spans="3:13" hidden="1" x14ac:dyDescent="0.25">
      <c r="L92" s="191" t="s">
        <v>1052</v>
      </c>
      <c r="M92" s="191">
        <v>265</v>
      </c>
    </row>
    <row r="93" spans="3:13" hidden="1" x14ac:dyDescent="0.25">
      <c r="L93" s="191" t="s">
        <v>1051</v>
      </c>
      <c r="M93" s="191">
        <v>430</v>
      </c>
    </row>
    <row r="94" spans="3:13" hidden="1" x14ac:dyDescent="0.25">
      <c r="L94" s="191" t="s">
        <v>1050</v>
      </c>
      <c r="M94" s="191">
        <v>155</v>
      </c>
    </row>
    <row r="95" spans="3:13" hidden="1" x14ac:dyDescent="0.25">
      <c r="L95" s="191" t="s">
        <v>1049</v>
      </c>
      <c r="M95" s="191">
        <v>270</v>
      </c>
    </row>
    <row r="96" spans="3:13" hidden="1" x14ac:dyDescent="0.25">
      <c r="L96" s="191" t="s">
        <v>1048</v>
      </c>
      <c r="M96" s="191">
        <v>380</v>
      </c>
    </row>
    <row r="97" spans="12:13" hidden="1" x14ac:dyDescent="0.25">
      <c r="L97" s="191" t="s">
        <v>1047</v>
      </c>
      <c r="M97" s="191">
        <v>490</v>
      </c>
    </row>
    <row r="98" spans="12:13" hidden="1" x14ac:dyDescent="0.25">
      <c r="L98" s="191" t="s">
        <v>1046</v>
      </c>
      <c r="M98" s="191">
        <v>150</v>
      </c>
    </row>
    <row r="99" spans="12:13" hidden="1" x14ac:dyDescent="0.25">
      <c r="L99" s="191" t="s">
        <v>1045</v>
      </c>
      <c r="M99" s="191">
        <v>220</v>
      </c>
    </row>
    <row r="100" spans="12:13" hidden="1" x14ac:dyDescent="0.25">
      <c r="L100" s="191" t="s">
        <v>1044</v>
      </c>
      <c r="M100" s="191">
        <v>440</v>
      </c>
    </row>
    <row r="101" spans="12:13" hidden="1" x14ac:dyDescent="0.25">
      <c r="L101" s="191" t="s">
        <v>1043</v>
      </c>
      <c r="M101" s="191">
        <v>270</v>
      </c>
    </row>
    <row r="102" spans="12:13" hidden="1" x14ac:dyDescent="0.25">
      <c r="L102" s="191" t="s">
        <v>1042</v>
      </c>
      <c r="M102" s="191">
        <v>675</v>
      </c>
    </row>
    <row r="103" spans="12:13" hidden="1" x14ac:dyDescent="0.25">
      <c r="L103" s="191" t="s">
        <v>1041</v>
      </c>
      <c r="M103" s="191">
        <v>180</v>
      </c>
    </row>
    <row r="104" spans="12:13" hidden="1" x14ac:dyDescent="0.25">
      <c r="L104" s="191" t="s">
        <v>1040</v>
      </c>
      <c r="M104" s="191">
        <v>114</v>
      </c>
    </row>
    <row r="105" spans="12:13" hidden="1" x14ac:dyDescent="0.25">
      <c r="L105" s="191" t="s">
        <v>1039</v>
      </c>
      <c r="M105" s="191">
        <v>70</v>
      </c>
    </row>
    <row r="106" spans="12:13" ht="17.25" hidden="1" x14ac:dyDescent="0.25">
      <c r="L106" s="191" t="s">
        <v>1038</v>
      </c>
      <c r="M106" s="191">
        <v>32400</v>
      </c>
    </row>
    <row r="107" spans="12:13" ht="17.25" hidden="1" x14ac:dyDescent="0.25">
      <c r="L107" s="191" t="s">
        <v>1037</v>
      </c>
      <c r="M107" s="191">
        <v>27000</v>
      </c>
    </row>
    <row r="108" spans="12:13" ht="17.25" hidden="1" x14ac:dyDescent="0.25">
      <c r="L108" s="191" t="s">
        <v>1036</v>
      </c>
      <c r="M108" s="191">
        <v>13000</v>
      </c>
    </row>
    <row r="109" spans="12:13" hidden="1" x14ac:dyDescent="0.25">
      <c r="L109" s="191" t="s">
        <v>1035</v>
      </c>
      <c r="M109" s="191">
        <v>1080</v>
      </c>
    </row>
    <row r="110" spans="12:13" hidden="1" x14ac:dyDescent="0.25">
      <c r="L110" s="191" t="s">
        <v>1034</v>
      </c>
      <c r="M110" s="191">
        <v>1730</v>
      </c>
    </row>
    <row r="111" spans="12:13" hidden="1" x14ac:dyDescent="0.25">
      <c r="L111" s="191" t="s">
        <v>1033</v>
      </c>
      <c r="M111" s="191">
        <v>920</v>
      </c>
    </row>
    <row r="112" spans="12:13" hidden="1" x14ac:dyDescent="0.25">
      <c r="L112" s="191" t="s">
        <v>1032</v>
      </c>
      <c r="M112" s="191">
        <v>1296</v>
      </c>
    </row>
    <row r="113" spans="12:13" hidden="1" x14ac:dyDescent="0.25">
      <c r="L113" s="191" t="s">
        <v>1031</v>
      </c>
      <c r="M113" s="191">
        <v>1840</v>
      </c>
    </row>
    <row r="114" spans="12:13" hidden="1" x14ac:dyDescent="0.25">
      <c r="L114" s="206" t="s">
        <v>1030</v>
      </c>
      <c r="M114" s="206">
        <v>6480</v>
      </c>
    </row>
    <row r="115" spans="12:13" hidden="1" x14ac:dyDescent="0.25">
      <c r="L115" s="206" t="s">
        <v>1029</v>
      </c>
      <c r="M115" s="206">
        <v>2160</v>
      </c>
    </row>
    <row r="116" spans="12:13" hidden="1" x14ac:dyDescent="0.25">
      <c r="L116" s="206" t="s">
        <v>1028</v>
      </c>
      <c r="M116" s="206">
        <v>98</v>
      </c>
    </row>
    <row r="117" spans="12:13" hidden="1" x14ac:dyDescent="0.25">
      <c r="L117" s="191" t="s">
        <v>1027</v>
      </c>
      <c r="M117" s="191">
        <v>17300</v>
      </c>
    </row>
    <row r="118" spans="12:13" hidden="1" x14ac:dyDescent="0.25">
      <c r="L118" s="191" t="s">
        <v>1026</v>
      </c>
      <c r="M118" s="191">
        <v>34650</v>
      </c>
    </row>
    <row r="119" spans="12:13" hidden="1" x14ac:dyDescent="0.25">
      <c r="L119" s="191" t="s">
        <v>1025</v>
      </c>
      <c r="M119" s="191">
        <v>1730</v>
      </c>
    </row>
    <row r="120" spans="12:13" hidden="1" x14ac:dyDescent="0.25">
      <c r="L120" s="191" t="s">
        <v>1024</v>
      </c>
      <c r="M120" s="191">
        <v>2160</v>
      </c>
    </row>
    <row r="121" spans="12:13" hidden="1" x14ac:dyDescent="0.25">
      <c r="L121" s="191" t="s">
        <v>1023</v>
      </c>
      <c r="M121" s="191">
        <v>2160</v>
      </c>
    </row>
    <row r="122" spans="12:13" hidden="1" x14ac:dyDescent="0.25">
      <c r="L122" s="191" t="s">
        <v>1022</v>
      </c>
      <c r="M122" s="191">
        <v>2920</v>
      </c>
    </row>
    <row r="123" spans="12:13" hidden="1" x14ac:dyDescent="0.25">
      <c r="L123" s="191" t="s">
        <v>1021</v>
      </c>
      <c r="M123" s="191">
        <v>1730</v>
      </c>
    </row>
    <row r="124" spans="12:13" hidden="1" x14ac:dyDescent="0.25">
      <c r="L124" s="191" t="s">
        <v>1020</v>
      </c>
      <c r="M124" s="191">
        <v>1730</v>
      </c>
    </row>
    <row r="125" spans="12:13" hidden="1" x14ac:dyDescent="0.25">
      <c r="L125" s="191" t="s">
        <v>1019</v>
      </c>
      <c r="M125" s="191">
        <v>1296</v>
      </c>
    </row>
    <row r="126" spans="12:13" hidden="1" x14ac:dyDescent="0.25">
      <c r="L126" s="191" t="s">
        <v>1018</v>
      </c>
      <c r="M126" s="191">
        <v>1405</v>
      </c>
    </row>
    <row r="127" spans="12:13" hidden="1" x14ac:dyDescent="0.25">
      <c r="L127" s="191" t="s">
        <v>1017</v>
      </c>
      <c r="M127" s="191">
        <v>760</v>
      </c>
    </row>
    <row r="128" spans="12:13" hidden="1" x14ac:dyDescent="0.25">
      <c r="L128" s="191" t="s">
        <v>1016</v>
      </c>
      <c r="M128" s="191">
        <v>595</v>
      </c>
    </row>
    <row r="129" spans="12:13" hidden="1" x14ac:dyDescent="0.25">
      <c r="L129" s="191" t="s">
        <v>1015</v>
      </c>
      <c r="M129" s="191">
        <v>595</v>
      </c>
    </row>
    <row r="130" spans="12:13" hidden="1" x14ac:dyDescent="0.25">
      <c r="L130" s="191" t="s">
        <v>1014</v>
      </c>
      <c r="M130" s="191">
        <v>540</v>
      </c>
    </row>
  </sheetData>
  <sheetProtection password="CA6B" sheet="1" objects="1" scenarios="1" selectLockedCells="1"/>
  <mergeCells count="36">
    <mergeCell ref="C21:J21"/>
    <mergeCell ref="C23:J23"/>
    <mergeCell ref="C25:J25"/>
    <mergeCell ref="C27:J27"/>
    <mergeCell ref="C7:J7"/>
    <mergeCell ref="C11:J11"/>
    <mergeCell ref="C15:J15"/>
    <mergeCell ref="C17:J17"/>
    <mergeCell ref="C19:J19"/>
    <mergeCell ref="C9:J9"/>
    <mergeCell ref="C13:J13"/>
    <mergeCell ref="C49:J49"/>
    <mergeCell ref="C51:J51"/>
    <mergeCell ref="C53:J53"/>
    <mergeCell ref="C55:J55"/>
    <mergeCell ref="C29:J29"/>
    <mergeCell ref="C31:J31"/>
    <mergeCell ref="C35:J35"/>
    <mergeCell ref="C37:J37"/>
    <mergeCell ref="C33:J33"/>
    <mergeCell ref="C2:J2"/>
    <mergeCell ref="C77:J77"/>
    <mergeCell ref="C57:J57"/>
    <mergeCell ref="C61:J61"/>
    <mergeCell ref="C63:J63"/>
    <mergeCell ref="C65:J65"/>
    <mergeCell ref="C67:J67"/>
    <mergeCell ref="C69:J69"/>
    <mergeCell ref="C45:J45"/>
    <mergeCell ref="C47:J47"/>
    <mergeCell ref="C39:J39"/>
    <mergeCell ref="C41:J41"/>
    <mergeCell ref="C43:J43"/>
    <mergeCell ref="C42:J42"/>
    <mergeCell ref="C71:J71"/>
    <mergeCell ref="C73:J73"/>
  </mergeCells>
  <conditionalFormatting sqref="E12">
    <cfRule type="expression" dxfId="21" priority="2">
      <formula>$E$12="Select External Wall Material"</formula>
    </cfRule>
    <cfRule type="expression" dxfId="20" priority="18">
      <formula>$L$10=1</formula>
    </cfRule>
    <cfRule type="expression" dxfId="19" priority="19">
      <formula>"IF(E10=""Select No. Storeys"")"</formula>
    </cfRule>
  </conditionalFormatting>
  <conditionalFormatting sqref="E24">
    <cfRule type="expression" dxfId="18" priority="14">
      <formula>$E$24="Select External Wall Material"</formula>
    </cfRule>
    <cfRule type="expression" dxfId="17" priority="17">
      <formula>$E$24="Select External Wall Type"</formula>
    </cfRule>
  </conditionalFormatting>
  <conditionalFormatting sqref="E28">
    <cfRule type="expression" dxfId="16" priority="16">
      <formula>$E$28="Select Roof Type"</formula>
    </cfRule>
  </conditionalFormatting>
  <conditionalFormatting sqref="E32">
    <cfRule type="expression" dxfId="15" priority="15">
      <formula>$E$32="Select Wall Construction Material"</formula>
    </cfRule>
  </conditionalFormatting>
  <conditionalFormatting sqref="E34">
    <cfRule type="expression" dxfId="14" priority="13">
      <formula>$E$34="Select Slab Type"</formula>
    </cfRule>
  </conditionalFormatting>
  <conditionalFormatting sqref="E36">
    <cfRule type="expression" dxfId="13" priority="12">
      <formula>$E$36="Select Wall Construction Material"</formula>
    </cfRule>
  </conditionalFormatting>
  <conditionalFormatting sqref="E38">
    <cfRule type="expression" dxfId="12" priority="11">
      <formula>$E$38="Select Fence Construction Material"</formula>
    </cfRule>
  </conditionalFormatting>
  <conditionalFormatting sqref="E40">
    <cfRule type="expression" dxfId="11" priority="10">
      <formula>$E$40="Select Pool Construction Material"</formula>
    </cfRule>
  </conditionalFormatting>
  <conditionalFormatting sqref="E44">
    <cfRule type="expression" dxfId="10" priority="9">
      <formula>$E$44="Select No. of Storeys"</formula>
    </cfRule>
  </conditionalFormatting>
  <conditionalFormatting sqref="E60">
    <cfRule type="expression" dxfId="9" priority="8">
      <formula>$E$60="Select Carpark Configuration"</formula>
    </cfRule>
  </conditionalFormatting>
  <conditionalFormatting sqref="E62">
    <cfRule type="expression" dxfId="8" priority="7">
      <formula>$E$62="Select No. of Storeys"</formula>
    </cfRule>
  </conditionalFormatting>
  <conditionalFormatting sqref="E64">
    <cfRule type="expression" dxfId="7" priority="6">
      <formula>$E$64="Select No. of Storeys"</formula>
    </cfRule>
  </conditionalFormatting>
  <conditionalFormatting sqref="E74">
    <cfRule type="expression" dxfId="6" priority="5">
      <formula>$E$74="Select Wall Construction Material"</formula>
    </cfRule>
  </conditionalFormatting>
  <conditionalFormatting sqref="E10">
    <cfRule type="expression" dxfId="5" priority="3">
      <formula>$L$10=1</formula>
    </cfRule>
    <cfRule type="expression" dxfId="4" priority="4">
      <formula>"IF(E10=""Select No. Storeys"")"</formula>
    </cfRule>
  </conditionalFormatting>
  <conditionalFormatting sqref="E14">
    <cfRule type="expression" dxfId="3" priority="1">
      <formula>$E$14="Select External Wall Material"</formula>
    </cfRule>
  </conditionalFormatting>
  <dataValidations count="14">
    <dataValidation type="list" allowBlank="1" showInputMessage="1" showErrorMessage="1" sqref="E12">
      <formula1>oo</formula1>
    </dataValidation>
    <dataValidation type="list" allowBlank="1" showInputMessage="1" showErrorMessage="1" sqref="E74:F74">
      <formula1>v</formula1>
    </dataValidation>
    <dataValidation type="list" allowBlank="1" showInputMessage="1" showErrorMessage="1" sqref="E64:F65">
      <formula1>u</formula1>
    </dataValidation>
    <dataValidation type="list" allowBlank="1" showInputMessage="1" showErrorMessage="1" sqref="E62:F63">
      <formula1>t</formula1>
    </dataValidation>
    <dataValidation type="list" allowBlank="1" showInputMessage="1" showErrorMessage="1" sqref="E60:F61">
      <formula1>s</formula1>
    </dataValidation>
    <dataValidation type="list" allowBlank="1" showInputMessage="1" showErrorMessage="1" sqref="E44:F45">
      <formula1>rr</formula1>
    </dataValidation>
    <dataValidation type="list" allowBlank="1" showInputMessage="1" showErrorMessage="1" sqref="E40:F40">
      <formula1>q</formula1>
    </dataValidation>
    <dataValidation type="list" allowBlank="1" showInputMessage="1" showErrorMessage="1" sqref="E38:F39">
      <formula1>p</formula1>
    </dataValidation>
    <dataValidation type="list" allowBlank="1" showInputMessage="1" showErrorMessage="1" sqref="E36:F37">
      <formula1>o</formula1>
    </dataValidation>
    <dataValidation type="list" allowBlank="1" showInputMessage="1" showErrorMessage="1" sqref="E34:F35">
      <formula1>n</formula1>
    </dataValidation>
    <dataValidation type="list" allowBlank="1" showInputMessage="1" showErrorMessage="1" sqref="E32:F33">
      <formula1>m</formula1>
    </dataValidation>
    <dataValidation type="list" allowBlank="1" showInputMessage="1" showErrorMessage="1" sqref="E28:F29">
      <formula1>l</formula1>
    </dataValidation>
    <dataValidation type="list" allowBlank="1" showInputMessage="1" showErrorMessage="1" sqref="E24:F25">
      <formula1>k</formula1>
    </dataValidation>
    <dataValidation type="list" allowBlank="1" showInputMessage="1" showErrorMessage="1" sqref="E15:F15 F10 F12:F13 E13:E14">
      <formula1>j</formula1>
    </dataValidation>
  </dataValidations>
  <printOptions verticalCentered="1"/>
  <pageMargins left="0.19685039370078741" right="0.19685039370078741" top="0.19685039370078741" bottom="0.19685039370078741" header="0.19685039370078741" footer="0.31496062992125984"/>
  <pageSetup paperSize="9" orientation="portrait" r:id="rId1"/>
  <drawing r:id="rId2"/>
  <legacyDrawing r:id="rId3"/>
  <controls>
    <mc:AlternateContent xmlns:mc="http://schemas.openxmlformats.org/markup-compatibility/2006">
      <mc:Choice Requires="x14">
        <control shapeId="20482" r:id="rId4" name="CommandButton1">
          <controlPr locked="0" defaultSize="0" print="0" autoLine="0" r:id="rId5">
            <anchor moveWithCells="1" sizeWithCells="1">
              <from>
                <xdr:col>7</xdr:col>
                <xdr:colOff>123825</xdr:colOff>
                <xdr:row>1</xdr:row>
                <xdr:rowOff>47625</xdr:rowOff>
              </from>
              <to>
                <xdr:col>9</xdr:col>
                <xdr:colOff>485775</xdr:colOff>
                <xdr:row>1</xdr:row>
                <xdr:rowOff>352425</xdr:rowOff>
              </to>
            </anchor>
          </controlPr>
        </control>
      </mc:Choice>
      <mc:Fallback>
        <control shapeId="20482" r:id="rId4" name="CommandButton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93366"/>
    <pageSetUpPr fitToPage="1"/>
  </sheetPr>
  <dimension ref="A1:AK124"/>
  <sheetViews>
    <sheetView showRowColHeaders="0" showZeros="0" zoomScaleNormal="100" workbookViewId="0"/>
  </sheetViews>
  <sheetFormatPr defaultColWidth="0" defaultRowHeight="15" customHeight="1" zeroHeight="1" x14ac:dyDescent="0.25"/>
  <cols>
    <col min="1" max="1" width="72" style="310" customWidth="1"/>
    <col min="2" max="2" width="76" style="310" customWidth="1"/>
    <col min="3" max="3" width="63" style="310" customWidth="1"/>
    <col min="4" max="4" width="1.42578125" style="288" customWidth="1"/>
    <col min="5" max="5" width="56.140625" style="288" hidden="1" customWidth="1"/>
    <col min="6" max="6" width="57.5703125" style="289" hidden="1" customWidth="1"/>
    <col min="7" max="7" width="62.42578125" style="289" hidden="1" customWidth="1"/>
    <col min="8" max="11" width="57.85546875" style="289" hidden="1" customWidth="1"/>
    <col min="12" max="12" width="57.140625" style="289" hidden="1" customWidth="1"/>
    <col min="13" max="13" width="57.5703125" style="289" hidden="1" customWidth="1"/>
    <col min="14" max="14" width="47.140625" style="289" hidden="1" customWidth="1"/>
    <col min="15" max="15" width="48.28515625" style="289" hidden="1" customWidth="1"/>
    <col min="16" max="16" width="47.5703125" style="289" hidden="1" customWidth="1"/>
    <col min="17" max="17" width="64.42578125" style="289" hidden="1" customWidth="1"/>
    <col min="18" max="18" width="65" style="289" hidden="1" customWidth="1"/>
    <col min="19" max="19" width="45" style="289" hidden="1" customWidth="1"/>
    <col min="20" max="20" width="45.85546875" style="289" hidden="1" customWidth="1"/>
    <col min="21" max="21" width="45" style="289" hidden="1" customWidth="1"/>
    <col min="22" max="22" width="46.7109375" style="289" hidden="1" customWidth="1"/>
    <col min="23" max="23" width="47.42578125" style="289" hidden="1" customWidth="1"/>
    <col min="24" max="24" width="47.5703125" style="289" hidden="1" customWidth="1"/>
    <col min="25" max="25" width="53" style="289" hidden="1" customWidth="1"/>
    <col min="26" max="26" width="53.5703125" style="289" hidden="1" customWidth="1"/>
    <col min="27" max="27" width="53.85546875" style="289" hidden="1" customWidth="1"/>
    <col min="28" max="28" width="56.28515625" style="289" hidden="1" customWidth="1"/>
    <col min="29" max="29" width="54.5703125" style="289" hidden="1" customWidth="1"/>
    <col min="30" max="30" width="54.7109375" style="289" hidden="1" customWidth="1"/>
    <col min="31" max="31" width="54.140625" style="289" hidden="1" customWidth="1"/>
    <col min="32" max="32" width="16.85546875" style="289" hidden="1" customWidth="1"/>
    <col min="33" max="33" width="28.140625" style="289" hidden="1" customWidth="1"/>
    <col min="34" max="34" width="29" style="289" hidden="1" customWidth="1"/>
    <col min="35" max="35" width="25.7109375" style="289" hidden="1" customWidth="1"/>
    <col min="36" max="36" width="25.85546875" style="289" hidden="1" customWidth="1"/>
    <col min="37" max="37" width="28.28515625" style="289" hidden="1" customWidth="1"/>
    <col min="38" max="16384" width="9.140625" style="289" hidden="1"/>
  </cols>
  <sheetData>
    <row r="1" spans="1:7" s="253" customFormat="1" ht="34.5" customHeight="1" x14ac:dyDescent="0.25">
      <c r="A1" s="654" t="s">
        <v>1496</v>
      </c>
      <c r="B1" s="1060" t="s">
        <v>1142</v>
      </c>
      <c r="C1" s="1060"/>
      <c r="D1" s="251"/>
      <c r="E1" s="252"/>
    </row>
    <row r="2" spans="1:7" s="253" customFormat="1" ht="15.75" x14ac:dyDescent="0.25">
      <c r="A2" s="1061" t="s">
        <v>1143</v>
      </c>
      <c r="B2" s="254" t="s">
        <v>1144</v>
      </c>
      <c r="C2" s="255"/>
      <c r="D2" s="251"/>
      <c r="E2" s="252"/>
    </row>
    <row r="3" spans="1:7" s="253" customFormat="1" ht="15.75" hidden="1" x14ac:dyDescent="0.25">
      <c r="A3" s="1062"/>
      <c r="B3" s="256" t="s">
        <v>1145</v>
      </c>
      <c r="C3" s="257"/>
      <c r="D3" s="251"/>
      <c r="E3" s="252"/>
      <c r="F3" s="253" t="str">
        <f>IF(C3=G3,1,"")</f>
        <v/>
      </c>
      <c r="G3" s="253" t="s">
        <v>1146</v>
      </c>
    </row>
    <row r="4" spans="1:7" s="253" customFormat="1" hidden="1" x14ac:dyDescent="0.25">
      <c r="A4" s="258" t="s">
        <v>1147</v>
      </c>
      <c r="B4" s="259" t="s">
        <v>1148</v>
      </c>
      <c r="C4" s="260"/>
      <c r="D4" s="251"/>
      <c r="E4" s="252"/>
      <c r="F4" s="253" t="str">
        <f>IF(C3=G4,1,"")</f>
        <v/>
      </c>
      <c r="G4" s="253" t="s">
        <v>1149</v>
      </c>
    </row>
    <row r="5" spans="1:7" s="253" customFormat="1" ht="3.75" hidden="1" customHeight="1" x14ac:dyDescent="0.25">
      <c r="A5" s="261"/>
      <c r="B5" s="262"/>
      <c r="C5" s="263"/>
      <c r="D5" s="251"/>
      <c r="E5" s="252"/>
      <c r="F5" s="253">
        <f>SUM(F3:F4)</f>
        <v>0</v>
      </c>
    </row>
    <row r="6" spans="1:7" s="253" customFormat="1" ht="15" hidden="1" customHeight="1" x14ac:dyDescent="0.25">
      <c r="A6" s="1063" t="s">
        <v>1150</v>
      </c>
      <c r="B6" s="264" t="s">
        <v>1151</v>
      </c>
      <c r="C6" s="265"/>
      <c r="D6" s="251">
        <f>IF(OR(B113="Yes",B114="Yes"),1,0)</f>
        <v>0</v>
      </c>
      <c r="E6" s="266">
        <f>IF(OR(B113="Yes",B114="Yes"),1,0)</f>
        <v>0</v>
      </c>
      <c r="F6" s="253" t="str">
        <f>IF(F5=1,"Yes","No")</f>
        <v>No</v>
      </c>
    </row>
    <row r="7" spans="1:7" s="253" customFormat="1" hidden="1" x14ac:dyDescent="0.25">
      <c r="A7" s="1064"/>
      <c r="B7" s="264" t="s">
        <v>1152</v>
      </c>
      <c r="C7" s="265"/>
      <c r="D7" s="251">
        <f>IF(B112="Yes",1,0)</f>
        <v>0</v>
      </c>
      <c r="E7" s="266">
        <f>IF(B112="Yes",1,0)</f>
        <v>0</v>
      </c>
      <c r="F7" s="253" t="s">
        <v>22</v>
      </c>
    </row>
    <row r="8" spans="1:7" s="253" customFormat="1" ht="3.75" hidden="1" customHeight="1" x14ac:dyDescent="0.25">
      <c r="A8" s="1064"/>
      <c r="B8" s="267"/>
      <c r="C8" s="268"/>
      <c r="D8" s="251"/>
      <c r="E8" s="252"/>
    </row>
    <row r="9" spans="1:7" s="253" customFormat="1" hidden="1" x14ac:dyDescent="0.25">
      <c r="A9" s="1064"/>
      <c r="B9" s="269" t="s">
        <v>1153</v>
      </c>
      <c r="C9" s="270"/>
      <c r="D9" s="251">
        <f>IF(B111="Yes",1,0)</f>
        <v>0</v>
      </c>
      <c r="E9" s="266">
        <f>IF(B111="Yes",1,0)</f>
        <v>0</v>
      </c>
    </row>
    <row r="10" spans="1:7" s="253" customFormat="1" hidden="1" x14ac:dyDescent="0.25">
      <c r="A10" s="1065"/>
      <c r="B10" s="269" t="s">
        <v>1154</v>
      </c>
      <c r="C10" s="270"/>
      <c r="D10" s="251">
        <f>SUM(C7,C10,D9,D7,D6)</f>
        <v>0</v>
      </c>
      <c r="E10" s="266">
        <f>SUM(C6,C9,E9,E7,E6)</f>
        <v>0</v>
      </c>
    </row>
    <row r="11" spans="1:7" s="253" customFormat="1" ht="4.5" hidden="1" customHeight="1" x14ac:dyDescent="0.25">
      <c r="A11" s="271"/>
      <c r="B11" s="267"/>
      <c r="C11" s="268"/>
      <c r="D11" s="251"/>
      <c r="E11" s="252"/>
    </row>
    <row r="12" spans="1:7" s="253" customFormat="1" hidden="1" x14ac:dyDescent="0.25">
      <c r="A12" s="1063" t="s">
        <v>1155</v>
      </c>
      <c r="B12" s="272" t="s">
        <v>1156</v>
      </c>
      <c r="C12" s="273"/>
      <c r="D12" s="251"/>
      <c r="E12" s="252"/>
    </row>
    <row r="13" spans="1:7" s="253" customFormat="1" ht="15.75" hidden="1" x14ac:dyDescent="0.25">
      <c r="A13" s="1066"/>
      <c r="B13" s="274" t="s">
        <v>1157</v>
      </c>
      <c r="C13" s="270"/>
      <c r="D13" s="251">
        <f>SUM(C12:C13)</f>
        <v>0</v>
      </c>
      <c r="E13" s="252"/>
    </row>
    <row r="14" spans="1:7" s="253" customFormat="1" hidden="1" x14ac:dyDescent="0.25">
      <c r="A14" s="1066"/>
      <c r="B14" s="275" t="s">
        <v>1158</v>
      </c>
      <c r="C14" s="273"/>
      <c r="D14" s="251"/>
      <c r="E14" s="252"/>
    </row>
    <row r="15" spans="1:7" s="253" customFormat="1" ht="15.75" hidden="1" x14ac:dyDescent="0.25">
      <c r="A15" s="1066"/>
      <c r="B15" s="276" t="s">
        <v>1159</v>
      </c>
      <c r="C15" s="270"/>
      <c r="D15" s="251">
        <f>SUM(C12:C15)</f>
        <v>0</v>
      </c>
      <c r="E15" s="252"/>
    </row>
    <row r="16" spans="1:7" s="253" customFormat="1" hidden="1" x14ac:dyDescent="0.25">
      <c r="A16" s="1067"/>
      <c r="B16" s="277" t="s">
        <v>1160</v>
      </c>
      <c r="C16" s="270"/>
      <c r="D16" s="251"/>
      <c r="E16" s="252"/>
    </row>
    <row r="17" spans="1:8" s="253" customFormat="1" ht="15.75" hidden="1" x14ac:dyDescent="0.25">
      <c r="A17" s="1068"/>
      <c r="B17" s="278" t="s">
        <v>1161</v>
      </c>
      <c r="C17" s="279"/>
      <c r="D17" s="251">
        <f>SUM(C16:C17)</f>
        <v>0</v>
      </c>
      <c r="E17" s="252"/>
      <c r="F17" s="253">
        <f>D17+D15</f>
        <v>0</v>
      </c>
    </row>
    <row r="18" spans="1:8" s="253" customFormat="1" hidden="1" x14ac:dyDescent="0.25">
      <c r="A18" s="280"/>
      <c r="B18" s="281" t="s">
        <v>1162</v>
      </c>
      <c r="C18" s="282"/>
      <c r="D18" s="283">
        <f>C16+C18+C17</f>
        <v>0</v>
      </c>
      <c r="E18" s="252"/>
    </row>
    <row r="19" spans="1:8" ht="15.75" hidden="1" customHeight="1" x14ac:dyDescent="0.25">
      <c r="A19" s="284"/>
      <c r="B19" s="285"/>
      <c r="C19" s="286"/>
      <c r="D19" s="287"/>
    </row>
    <row r="20" spans="1:8" hidden="1" x14ac:dyDescent="0.25">
      <c r="A20" s="284"/>
      <c r="B20" s="285"/>
      <c r="C20" s="286"/>
      <c r="D20" s="287"/>
    </row>
    <row r="21" spans="1:8" ht="5.25" customHeight="1" x14ac:dyDescent="0.25">
      <c r="A21" s="290"/>
      <c r="B21" s="291"/>
      <c r="C21" s="290"/>
      <c r="D21" s="287"/>
    </row>
    <row r="22" spans="1:8" ht="15.75" x14ac:dyDescent="0.25">
      <c r="A22" s="292" t="str">
        <f>IF(C123&gt;=1,F115,IF(B111="Yes",F115,IF(B113="Yes",N115,IF(B114="Yes",N115,IF(B112="Yes",N115,"")))))</f>
        <v/>
      </c>
      <c r="B22" s="293" t="s">
        <v>1163</v>
      </c>
      <c r="C22" s="294">
        <f>IF(AND(F69&gt;=0,F69&lt;1000000),F69,"Refer S94 Planner")</f>
        <v>0</v>
      </c>
      <c r="D22" s="287"/>
    </row>
    <row r="23" spans="1:8" ht="15.75" x14ac:dyDescent="0.25">
      <c r="A23" s="292" t="str">
        <f>IF(C123&gt;=1,D115,IF(B105="Yes",Y115,IF(B106="Yes",Y115,IF(B113="Yes",O115,IF(B114="Yes",O115,"")))))</f>
        <v/>
      </c>
      <c r="B23" s="293" t="s">
        <v>1164</v>
      </c>
      <c r="C23" s="294">
        <f>IF(AND(I69&gt;=0,I69&lt;1000000),I69,"Refer S94 Planner")</f>
        <v>0</v>
      </c>
      <c r="D23" s="287"/>
    </row>
    <row r="24" spans="1:8" ht="15.75" x14ac:dyDescent="0.25">
      <c r="A24" s="292" t="str">
        <f>IF(C123&gt;=1,E115,IF(B113="Yes",P115,IF(B114="Yes",P115,"")))</f>
        <v/>
      </c>
      <c r="B24" s="293" t="s">
        <v>1165</v>
      </c>
      <c r="C24" s="294">
        <f>IF(AND(K69&gt;=0,K69&lt;1000000),K69,"Refer S94 Planner")</f>
        <v>0</v>
      </c>
      <c r="D24" s="287"/>
      <c r="H24" s="289">
        <f>IF(D4="1-5",1,0)</f>
        <v>0</v>
      </c>
    </row>
    <row r="25" spans="1:8" ht="15.75" x14ac:dyDescent="0.25">
      <c r="A25" s="295" t="str">
        <f>IF(OR(C4="1_4",C60="Yes",C61="Yes"),I121,"")</f>
        <v/>
      </c>
      <c r="B25" s="293" t="s">
        <v>1166</v>
      </c>
      <c r="C25" s="294">
        <f>IF(AND(M69&gt;=0,M69&lt;1000000),M69,"Refer S94 Planner")</f>
        <v>0</v>
      </c>
      <c r="D25" s="287"/>
      <c r="H25" s="289">
        <f>IF(C3="Tamworth Urban - Moore Ck Catchment",1,0)</f>
        <v>0</v>
      </c>
    </row>
    <row r="26" spans="1:8" ht="15.75" x14ac:dyDescent="0.25">
      <c r="A26" s="292" t="str">
        <f>IF(OR(C4="5",A68&gt;0),L115,"")</f>
        <v/>
      </c>
      <c r="B26" s="293" t="s">
        <v>1167</v>
      </c>
      <c r="C26" s="294">
        <f>IF(AND(O69&gt;=0,O69&lt;1000000),O69,"Refer S94 Planner")</f>
        <v>0</v>
      </c>
      <c r="D26" s="287"/>
      <c r="H26" s="289">
        <f>IF(C3="Tamworth Urban - Forest Hills Catchment",1,0)</f>
        <v>0</v>
      </c>
    </row>
    <row r="27" spans="1:8" ht="6" customHeight="1" x14ac:dyDescent="0.25">
      <c r="A27" s="296"/>
      <c r="B27" s="297"/>
      <c r="C27" s="298">
        <f>SUM(C22:C26)</f>
        <v>0</v>
      </c>
      <c r="D27" s="287"/>
      <c r="H27" s="289">
        <f>SUM(H24:H26)</f>
        <v>0</v>
      </c>
    </row>
    <row r="28" spans="1:8" ht="15.75" x14ac:dyDescent="0.25">
      <c r="A28" s="292" t="str">
        <f>IF(C123&gt;=1,M115,"")</f>
        <v/>
      </c>
      <c r="B28" s="293" t="s">
        <v>1168</v>
      </c>
      <c r="C28" s="299" t="b">
        <f>IF(OR(C3="Tamworth Urban",C3="Tamworth Urban - Moore Ck Catchment",C3="Tamworth Urban - Forest Hills Catchment",C2="Mulconda Retirement Village (Johnson Street)",C2="Tamworth Lifestyle Village (Warral Road)"),IF(AND(C27&gt;=0),ROUND(C27*2.6/100,1),"0"))</f>
        <v>0</v>
      </c>
      <c r="D28" s="287"/>
    </row>
    <row r="29" spans="1:8" ht="15.75" x14ac:dyDescent="0.25">
      <c r="A29" s="292" t="str">
        <f>IF(OR(B105="Yes",B106="Yes"),Z115,"")</f>
        <v/>
      </c>
      <c r="B29" s="293" t="s">
        <v>1169</v>
      </c>
      <c r="C29" s="294">
        <f>IF(AND(P68&gt;=0,P68&lt;1000000),P68,"Refer S94 Planner")</f>
        <v>0</v>
      </c>
      <c r="D29" s="287"/>
      <c r="E29" s="300"/>
    </row>
    <row r="30" spans="1:8" ht="15.75" x14ac:dyDescent="0.25">
      <c r="A30" s="292" t="str">
        <f>IF(OR(B105="Yes",B106="Yes"),AA115,"")</f>
        <v/>
      </c>
      <c r="B30" s="293" t="s">
        <v>1170</v>
      </c>
      <c r="C30" s="294">
        <f>IF(AND(Q68&gt;=0,Q68&lt;1000000),Q68,"Refer S94 Planner")</f>
        <v>0</v>
      </c>
      <c r="D30" s="287"/>
    </row>
    <row r="31" spans="1:8" ht="15.75" x14ac:dyDescent="0.25">
      <c r="A31" s="292" t="str">
        <f>IF(B108="Yes",V115,"")</f>
        <v/>
      </c>
      <c r="B31" s="293" t="s">
        <v>1171</v>
      </c>
      <c r="C31" s="294">
        <f>IF(AND(R68&gt;=0,R68&lt;1000000),R68,"Refer S94 Planner")</f>
        <v>0</v>
      </c>
      <c r="D31" s="287"/>
      <c r="F31" s="289" t="s">
        <v>1172</v>
      </c>
    </row>
    <row r="32" spans="1:8" ht="12" customHeight="1" x14ac:dyDescent="0.25">
      <c r="A32" s="295" t="str">
        <f>IF(OR(B123&gt;0,B108="Yes"),T121,"")</f>
        <v/>
      </c>
      <c r="B32" s="1069" t="s">
        <v>1173</v>
      </c>
      <c r="C32" s="301">
        <f>IF(AND(S68&gt;=0,S68&lt;1000000),S68,"Refer S94 Planner")</f>
        <v>0</v>
      </c>
      <c r="D32" s="287"/>
      <c r="F32" s="289">
        <v>1</v>
      </c>
    </row>
    <row r="33" spans="1:6" ht="26.25" customHeight="1" x14ac:dyDescent="0.25">
      <c r="A33" s="295"/>
      <c r="B33" s="1070"/>
      <c r="C33" s="302" t="str">
        <f>IF(C3="Tamworth Urban - Moore Ck Catchment","Bushfire Contribution applies for properties north of Browns Lane (Former Parry Shire)","")</f>
        <v/>
      </c>
      <c r="D33" s="287"/>
    </row>
    <row r="34" spans="1:6" ht="15.75" x14ac:dyDescent="0.25">
      <c r="A34" s="295" t="str">
        <f>IF(B108="Yes",AG115,"")</f>
        <v/>
      </c>
      <c r="B34" s="293" t="s">
        <v>1174</v>
      </c>
      <c r="C34" s="294">
        <f>IF(AND(T68&gt;=0,T68&lt;1000000),T68,"Refer S94 Planner")</f>
        <v>0</v>
      </c>
      <c r="D34" s="287"/>
      <c r="F34" s="289">
        <f>SUM(F31:F32)</f>
        <v>1</v>
      </c>
    </row>
    <row r="35" spans="1:6" ht="15.75" x14ac:dyDescent="0.25">
      <c r="A35" s="295" t="str">
        <f>IF(B108="Yes",AH115,"")</f>
        <v/>
      </c>
      <c r="B35" s="293" t="s">
        <v>1175</v>
      </c>
      <c r="C35" s="294">
        <f>IF(AND(U68&gt;=0,U68&lt;1000000),U68,"Refer S94 Planner")</f>
        <v>0</v>
      </c>
      <c r="D35" s="287"/>
    </row>
    <row r="36" spans="1:6" ht="15.75" x14ac:dyDescent="0.25">
      <c r="A36" s="295" t="str">
        <f>IF(D10&gt;0,Q115,"")</f>
        <v/>
      </c>
      <c r="B36" s="293" t="s">
        <v>1176</v>
      </c>
      <c r="C36" s="294">
        <f>IF(AND(V68&gt;=0,V68&lt;1000000),V77,"Refer S94 Planner")</f>
        <v>0</v>
      </c>
      <c r="D36" s="287"/>
    </row>
    <row r="37" spans="1:6" ht="15.75" x14ac:dyDescent="0.25">
      <c r="A37" s="295" t="str">
        <f>IF(D10&gt;0,R115,"")</f>
        <v/>
      </c>
      <c r="B37" s="293" t="s">
        <v>1177</v>
      </c>
      <c r="C37" s="294">
        <f>IF(AND(W68&gt;=0,W77&lt;1000000),W77,"Refer S94 Planner")</f>
        <v>0</v>
      </c>
      <c r="D37" s="287"/>
    </row>
    <row r="38" spans="1:6" ht="15.75" x14ac:dyDescent="0.25">
      <c r="A38" s="295" t="str">
        <f>IF(A66&gt;0,AD115,"")</f>
        <v/>
      </c>
      <c r="B38" s="293" t="s">
        <v>1178</v>
      </c>
      <c r="C38" s="294">
        <f>IF(AND(X68&gt;=0,X68&lt;1000000),X68,"Refer S94 Planner")</f>
        <v>0</v>
      </c>
      <c r="D38" s="287"/>
    </row>
    <row r="39" spans="1:6" ht="15.75" x14ac:dyDescent="0.25">
      <c r="A39" s="295" t="str">
        <f>IF(A66&gt;0,AB115,"")</f>
        <v/>
      </c>
      <c r="B39" s="293" t="s">
        <v>1179</v>
      </c>
      <c r="C39" s="294">
        <f>IF(AND(Y68&gt;=0,Y68&lt;1000000),Y68,"Refer S94 Planner")</f>
        <v>0</v>
      </c>
      <c r="D39" s="287"/>
    </row>
    <row r="40" spans="1:6" ht="15.75" x14ac:dyDescent="0.25">
      <c r="A40" s="295" t="str">
        <f>IF(A66&gt;0,AE115,"")</f>
        <v/>
      </c>
      <c r="B40" s="293" t="s">
        <v>1180</v>
      </c>
      <c r="C40" s="294">
        <f>IF(AND(Z68&gt;=0,Z68&lt;1000000),Z68,"Refer S94 Planner")</f>
        <v>0</v>
      </c>
      <c r="D40" s="287"/>
    </row>
    <row r="41" spans="1:6" ht="15.75" x14ac:dyDescent="0.25">
      <c r="A41" s="295" t="str">
        <f>IF(B111="Yes",AK115,"")</f>
        <v/>
      </c>
      <c r="B41" s="293" t="s">
        <v>1181</v>
      </c>
      <c r="C41" s="294" t="str">
        <f>IF(C60="Yes",AA67*C52,"")</f>
        <v/>
      </c>
      <c r="D41" s="287"/>
    </row>
    <row r="42" spans="1:6" ht="15.75" x14ac:dyDescent="0.25">
      <c r="A42" s="296"/>
      <c r="B42" s="303"/>
      <c r="C42" s="304"/>
      <c r="D42" s="287"/>
    </row>
    <row r="43" spans="1:6" ht="21" x14ac:dyDescent="0.35">
      <c r="A43" s="305"/>
      <c r="B43" s="306" t="s">
        <v>35</v>
      </c>
      <c r="C43" s="307">
        <f>SUM(C27:C42)</f>
        <v>0</v>
      </c>
      <c r="D43" s="287"/>
    </row>
    <row r="44" spans="1:6" ht="5.25" customHeight="1" x14ac:dyDescent="0.25">
      <c r="A44" s="308"/>
      <c r="B44" s="308"/>
      <c r="C44" s="308"/>
      <c r="D44" s="309"/>
    </row>
    <row r="45" spans="1:6" hidden="1" x14ac:dyDescent="0.25">
      <c r="A45" s="284"/>
      <c r="D45" s="311"/>
      <c r="E45" s="312"/>
    </row>
    <row r="46" spans="1:6" hidden="1" x14ac:dyDescent="0.25">
      <c r="A46" s="284"/>
      <c r="B46" s="310" t="s">
        <v>1182</v>
      </c>
      <c r="C46" s="310" t="str">
        <f>IF(C3=B46,"Parry","")</f>
        <v/>
      </c>
      <c r="D46" s="311"/>
      <c r="E46" s="312"/>
    </row>
    <row r="47" spans="1:6" hidden="1" x14ac:dyDescent="0.25">
      <c r="A47" s="284"/>
      <c r="B47" s="310" t="s">
        <v>1183</v>
      </c>
      <c r="C47" s="310" t="str">
        <f>IF(C3=B47,"Urban","")</f>
        <v/>
      </c>
      <c r="D47" s="311"/>
      <c r="E47" s="312"/>
    </row>
    <row r="48" spans="1:6" hidden="1" x14ac:dyDescent="0.25">
      <c r="A48" s="284"/>
      <c r="C48" s="310" t="e">
        <f>VLOOKUP("Yes",C$46:C$47,1,0)</f>
        <v>#N/A</v>
      </c>
      <c r="D48" s="311"/>
      <c r="E48" s="312"/>
    </row>
    <row r="49" spans="1:28" hidden="1" x14ac:dyDescent="0.25">
      <c r="A49" s="284"/>
      <c r="D49" s="311"/>
      <c r="E49" s="312"/>
    </row>
    <row r="50" spans="1:28" hidden="1" x14ac:dyDescent="0.25">
      <c r="A50" s="284"/>
      <c r="D50" s="311"/>
      <c r="E50" s="312"/>
    </row>
    <row r="51" spans="1:28" hidden="1" x14ac:dyDescent="0.25">
      <c r="A51" s="284"/>
      <c r="D51" s="311"/>
      <c r="E51" s="312"/>
    </row>
    <row r="52" spans="1:28" hidden="1" x14ac:dyDescent="0.25">
      <c r="A52" s="284"/>
      <c r="C52" s="310">
        <f>SUM(C12,C14,C16)</f>
        <v>0</v>
      </c>
      <c r="D52" s="311"/>
      <c r="E52" s="312"/>
    </row>
    <row r="53" spans="1:28" hidden="1" x14ac:dyDescent="0.25">
      <c r="A53" s="284"/>
      <c r="D53" s="311"/>
      <c r="E53" s="312"/>
    </row>
    <row r="54" spans="1:28" hidden="1" x14ac:dyDescent="0.25">
      <c r="D54" s="311" t="s">
        <v>1184</v>
      </c>
      <c r="E54" s="289" t="s">
        <v>1184</v>
      </c>
      <c r="F54" s="289" t="s">
        <v>1185</v>
      </c>
      <c r="G54" s="289" t="s">
        <v>1185</v>
      </c>
      <c r="H54" s="289" t="s">
        <v>1186</v>
      </c>
      <c r="I54" s="289" t="s">
        <v>1187</v>
      </c>
      <c r="J54" s="289" t="s">
        <v>1188</v>
      </c>
      <c r="K54" s="289" t="s">
        <v>1189</v>
      </c>
      <c r="L54" s="289" t="s">
        <v>1190</v>
      </c>
      <c r="M54" s="289" t="s">
        <v>1191</v>
      </c>
      <c r="N54" s="289" t="s">
        <v>1192</v>
      </c>
      <c r="O54" s="289" t="s">
        <v>1193</v>
      </c>
      <c r="P54" s="289" t="s">
        <v>1169</v>
      </c>
      <c r="Q54" s="289" t="s">
        <v>1170</v>
      </c>
      <c r="R54" s="289" t="s">
        <v>1171</v>
      </c>
      <c r="S54" s="289" t="s">
        <v>439</v>
      </c>
      <c r="T54" s="289" t="s">
        <v>1194</v>
      </c>
      <c r="U54" s="289" t="s">
        <v>1195</v>
      </c>
      <c r="V54" s="289" t="s">
        <v>1196</v>
      </c>
      <c r="W54" s="289" t="s">
        <v>1197</v>
      </c>
      <c r="X54" s="289" t="s">
        <v>1198</v>
      </c>
      <c r="Y54" s="289" t="s">
        <v>764</v>
      </c>
      <c r="Z54" s="289" t="s">
        <v>1199</v>
      </c>
      <c r="AA54" s="289" t="s">
        <v>1200</v>
      </c>
      <c r="AB54" s="289" t="s">
        <v>1201</v>
      </c>
    </row>
    <row r="55" spans="1:28" hidden="1" x14ac:dyDescent="0.25">
      <c r="B55" s="310" t="s">
        <v>1146</v>
      </c>
      <c r="C55" s="310" t="str">
        <f>IF(C3="Tamworth Urban","Yes","")</f>
        <v/>
      </c>
      <c r="D55" s="311">
        <v>1552</v>
      </c>
      <c r="E55" s="312">
        <v>776</v>
      </c>
      <c r="F55" s="289">
        <v>776</v>
      </c>
      <c r="G55" s="289">
        <v>388</v>
      </c>
      <c r="H55" s="289">
        <v>366</v>
      </c>
      <c r="I55" s="289">
        <v>183</v>
      </c>
      <c r="J55" s="289">
        <v>200</v>
      </c>
      <c r="K55" s="289">
        <v>100</v>
      </c>
      <c r="L55" s="289">
        <v>1116</v>
      </c>
      <c r="M55" s="289">
        <v>558</v>
      </c>
      <c r="N55" s="289">
        <v>2594</v>
      </c>
      <c r="O55" s="289">
        <v>1297</v>
      </c>
      <c r="V55" s="289">
        <v>4794</v>
      </c>
      <c r="W55" s="289">
        <v>1997</v>
      </c>
    </row>
    <row r="56" spans="1:28" s="315" customFormat="1" hidden="1" x14ac:dyDescent="0.25">
      <c r="A56" s="313">
        <f>IF(C56="Yes",1,0)</f>
        <v>0</v>
      </c>
      <c r="B56" s="313" t="s">
        <v>1202</v>
      </c>
      <c r="C56" s="313" t="str">
        <f>IF(C3="Hills Plain","Yes","")</f>
        <v/>
      </c>
      <c r="D56" s="314"/>
      <c r="E56" s="312"/>
      <c r="H56" s="315">
        <v>548</v>
      </c>
      <c r="I56" s="315">
        <v>548</v>
      </c>
      <c r="P56" s="315">
        <v>2398</v>
      </c>
      <c r="Q56" s="315">
        <v>430</v>
      </c>
      <c r="W56" s="315">
        <v>1997</v>
      </c>
      <c r="X56" s="315">
        <v>8648</v>
      </c>
      <c r="Y56" s="315">
        <v>10978</v>
      </c>
      <c r="Z56" s="315">
        <v>267</v>
      </c>
    </row>
    <row r="57" spans="1:28" s="315" customFormat="1" hidden="1" x14ac:dyDescent="0.25">
      <c r="A57" s="313">
        <f>IF(C57="Yes",1,0)</f>
        <v>0</v>
      </c>
      <c r="B57" s="313" t="s">
        <v>1203</v>
      </c>
      <c r="C57" s="313" t="str">
        <f>IF(C3="Hills Plain East - Moore Ck/Manilla Rd Catchment (Water)","Yes","")</f>
        <v/>
      </c>
      <c r="D57" s="314"/>
      <c r="E57" s="312"/>
      <c r="H57" s="315">
        <v>548</v>
      </c>
      <c r="I57" s="315">
        <v>548</v>
      </c>
      <c r="P57" s="315">
        <v>2398</v>
      </c>
      <c r="Q57" s="315">
        <v>430</v>
      </c>
      <c r="W57" s="315">
        <v>4272</v>
      </c>
      <c r="X57" s="315">
        <v>8648</v>
      </c>
      <c r="Y57" s="315">
        <v>10978</v>
      </c>
      <c r="Z57" s="315">
        <v>267</v>
      </c>
    </row>
    <row r="58" spans="1:28" hidden="1" x14ac:dyDescent="0.25">
      <c r="B58" s="310" t="s">
        <v>1182</v>
      </c>
      <c r="C58" s="310" t="str">
        <f>IF(C3="Parry","Yes","")</f>
        <v/>
      </c>
      <c r="D58" s="311"/>
      <c r="E58" s="312"/>
      <c r="R58" s="289">
        <v>3750</v>
      </c>
      <c r="S58" s="289">
        <v>269</v>
      </c>
      <c r="V58" s="289">
        <v>834</v>
      </c>
      <c r="W58" s="289">
        <v>834</v>
      </c>
    </row>
    <row r="59" spans="1:28" hidden="1" x14ac:dyDescent="0.25">
      <c r="B59" s="310" t="s">
        <v>1204</v>
      </c>
      <c r="C59" s="310" t="str">
        <f>IF(C3="Manilla","Yes","")</f>
        <v/>
      </c>
      <c r="D59" s="311"/>
      <c r="E59" s="312"/>
      <c r="S59" s="316">
        <v>1000000</v>
      </c>
      <c r="T59" s="316">
        <v>1000000</v>
      </c>
      <c r="U59" s="316">
        <v>1000000</v>
      </c>
      <c r="V59" s="316">
        <v>1625</v>
      </c>
      <c r="W59" s="316">
        <v>1952</v>
      </c>
      <c r="X59" s="316"/>
    </row>
    <row r="60" spans="1:28" hidden="1" x14ac:dyDescent="0.25">
      <c r="B60" s="310" t="s">
        <v>1205</v>
      </c>
      <c r="C60" s="310" t="str">
        <f>IF(C2="Tamworth Lifestyle Village (Warral Road)","Yes","")</f>
        <v/>
      </c>
      <c r="D60" s="311">
        <v>1552</v>
      </c>
      <c r="E60" s="312"/>
      <c r="F60" s="289">
        <v>776</v>
      </c>
      <c r="H60" s="289">
        <v>366</v>
      </c>
      <c r="I60" s="289">
        <v>183</v>
      </c>
      <c r="J60" s="289">
        <v>200</v>
      </c>
      <c r="K60" s="289">
        <v>100</v>
      </c>
      <c r="L60" s="289">
        <v>1116</v>
      </c>
      <c r="M60" s="289">
        <v>558</v>
      </c>
      <c r="V60" s="289">
        <f>(C14*V55*H73)+(C16*V55*I73)+(C12*V55*F73)</f>
        <v>0</v>
      </c>
      <c r="W60" s="289">
        <f>(C14*W55*H74)+(C16*W55*I74)+(C12*W55*F74)</f>
        <v>0</v>
      </c>
      <c r="AA60" s="289">
        <f>ROUND(4794*H75,2)</f>
        <v>249.29</v>
      </c>
    </row>
    <row r="61" spans="1:28" hidden="1" x14ac:dyDescent="0.25">
      <c r="B61" s="310" t="s">
        <v>1206</v>
      </c>
      <c r="C61" s="310" t="str">
        <f>IF(C2="Mulconda Retirement Village (Johnson Street)","Yes","")</f>
        <v/>
      </c>
      <c r="D61" s="311">
        <v>1552</v>
      </c>
      <c r="E61" s="312"/>
      <c r="F61" s="289">
        <v>776</v>
      </c>
      <c r="H61" s="289">
        <v>366</v>
      </c>
      <c r="I61" s="289">
        <v>183</v>
      </c>
      <c r="J61" s="289">
        <v>200</v>
      </c>
      <c r="K61" s="289">
        <v>100</v>
      </c>
      <c r="L61" s="289">
        <v>1116</v>
      </c>
      <c r="M61" s="289">
        <v>558</v>
      </c>
      <c r="V61" s="289">
        <f>(C14*V55*F79)+(C16*V55*H79)+(C12*V55*F79)</f>
        <v>0</v>
      </c>
      <c r="W61" s="289">
        <f>(C14*W55*F80)+(C16*W55*H80)+(C12*W55*F80)</f>
        <v>0</v>
      </c>
    </row>
    <row r="62" spans="1:28" s="316" customFormat="1" hidden="1" x14ac:dyDescent="0.25">
      <c r="A62" s="317">
        <f>IF(C62="Yes",1,0)</f>
        <v>0</v>
      </c>
      <c r="B62" s="317" t="s">
        <v>1207</v>
      </c>
      <c r="C62" s="317" t="str">
        <f>IF(C3="Tamworth Urban - Forest Hills Catchment","Yes","")</f>
        <v/>
      </c>
      <c r="D62" s="318">
        <v>1552</v>
      </c>
      <c r="E62" s="312"/>
      <c r="F62" s="316">
        <v>776</v>
      </c>
      <c r="G62" s="316">
        <v>388</v>
      </c>
      <c r="H62" s="316">
        <v>366</v>
      </c>
      <c r="I62" s="316">
        <v>183</v>
      </c>
      <c r="J62" s="316">
        <v>200</v>
      </c>
      <c r="K62" s="316">
        <v>100</v>
      </c>
      <c r="N62" s="316">
        <v>2594</v>
      </c>
      <c r="O62" s="316">
        <v>1297</v>
      </c>
      <c r="S62" s="316">
        <v>269</v>
      </c>
      <c r="W62" s="316">
        <v>1997</v>
      </c>
      <c r="X62" s="316">
        <v>8648</v>
      </c>
      <c r="Y62" s="316">
        <v>10978</v>
      </c>
      <c r="Z62" s="316">
        <v>267</v>
      </c>
    </row>
    <row r="63" spans="1:28" s="316" customFormat="1" hidden="1" x14ac:dyDescent="0.25">
      <c r="A63" s="317">
        <f>IF(C63="Yes",1,0)</f>
        <v>0</v>
      </c>
      <c r="B63" s="317" t="s">
        <v>1208</v>
      </c>
      <c r="C63" s="317" t="str">
        <f>IF(C3="Tamworth Urban - Moore Ck Catchment","Yes","")</f>
        <v/>
      </c>
      <c r="D63" s="318">
        <v>1552</v>
      </c>
      <c r="E63" s="312"/>
      <c r="F63" s="316">
        <v>776</v>
      </c>
      <c r="G63" s="316">
        <v>388</v>
      </c>
      <c r="H63" s="316">
        <v>366</v>
      </c>
      <c r="I63" s="316">
        <v>183</v>
      </c>
      <c r="J63" s="316">
        <v>200</v>
      </c>
      <c r="K63" s="316">
        <v>100</v>
      </c>
      <c r="N63" s="316">
        <v>2594</v>
      </c>
      <c r="O63" s="316">
        <v>1297</v>
      </c>
      <c r="S63" s="316">
        <v>269</v>
      </c>
      <c r="W63" s="316">
        <v>4272</v>
      </c>
      <c r="Y63" s="316">
        <v>10978</v>
      </c>
    </row>
    <row r="64" spans="1:28" s="321" customFormat="1" hidden="1" x14ac:dyDescent="0.25">
      <c r="A64" s="317">
        <f t="shared" ref="A64:A65" si="0">IF(C64="Yes",1,0)</f>
        <v>0</v>
      </c>
      <c r="B64" s="319" t="s">
        <v>1209</v>
      </c>
      <c r="C64" s="319" t="str">
        <f>IF(C2="Lampada Estate  DA0041/1999 (Old Tamworth Plan &lt;1 August 2005)","Yes","")</f>
        <v/>
      </c>
      <c r="D64" s="320">
        <v>1000000</v>
      </c>
      <c r="E64" s="312"/>
      <c r="F64" s="321">
        <v>1000000</v>
      </c>
      <c r="H64" s="321">
        <v>1000000</v>
      </c>
      <c r="J64" s="321">
        <v>1000000</v>
      </c>
      <c r="V64" s="321">
        <v>2955</v>
      </c>
      <c r="W64" s="321">
        <v>1233</v>
      </c>
    </row>
    <row r="65" spans="1:28" s="321" customFormat="1" hidden="1" x14ac:dyDescent="0.25">
      <c r="A65" s="317">
        <f t="shared" si="0"/>
        <v>0</v>
      </c>
      <c r="B65" s="319" t="s">
        <v>1210</v>
      </c>
      <c r="C65" s="319" t="str">
        <f>IF(C2="Lampada Estate  DA0204/1996 (Old Tamworth Plan &lt;1 August 2005)","Yes","")</f>
        <v/>
      </c>
      <c r="D65" s="320">
        <v>1000000</v>
      </c>
      <c r="E65" s="312"/>
      <c r="F65" s="321">
        <v>1000000</v>
      </c>
      <c r="H65" s="321">
        <v>1000000</v>
      </c>
      <c r="J65" s="321">
        <v>1000000</v>
      </c>
      <c r="V65" s="321">
        <v>2955</v>
      </c>
      <c r="W65" s="321">
        <v>1233</v>
      </c>
    </row>
    <row r="66" spans="1:28" hidden="1" x14ac:dyDescent="0.25">
      <c r="A66" s="310">
        <f>SUM(A56,A57,A62,A63)</f>
        <v>0</v>
      </c>
      <c r="C66" s="310" t="str">
        <f>IF(C3="","Yes","")</f>
        <v>Yes</v>
      </c>
      <c r="D66" s="311"/>
      <c r="E66" s="312"/>
    </row>
    <row r="67" spans="1:28" hidden="1" x14ac:dyDescent="0.25">
      <c r="A67" s="310">
        <f>SUM(A64,A65)</f>
        <v>0</v>
      </c>
      <c r="D67" s="311">
        <f>VLOOKUP("Yes",C$55:D$66,2,0)</f>
        <v>0</v>
      </c>
      <c r="E67" s="312">
        <f>VLOOKUP("Yes",C$55:E$66,3,0)</f>
        <v>0</v>
      </c>
      <c r="F67" s="289">
        <f>VLOOKUP("Yes",C$55:F$66,4,0)</f>
        <v>0</v>
      </c>
      <c r="G67" s="289">
        <f>VLOOKUP("Yes",C$55:G$66,5,0)</f>
        <v>0</v>
      </c>
      <c r="H67" s="316">
        <f>VLOOKUP("Yes",C$55:H$66,6,0)</f>
        <v>0</v>
      </c>
      <c r="I67" s="289">
        <f>VLOOKUP("Yes",C$55:I$66,7,0)</f>
        <v>0</v>
      </c>
      <c r="J67" s="316">
        <f>VLOOKUP("Yes",C$55:J$66,8,0)</f>
        <v>0</v>
      </c>
      <c r="K67" s="289">
        <f>VLOOKUP("Yes",C$55:K$66,9,0)</f>
        <v>0</v>
      </c>
      <c r="L67" s="289">
        <f>VLOOKUP("Yes",C$55:L$66,10,0)</f>
        <v>0</v>
      </c>
      <c r="M67" s="289">
        <f>VLOOKUP("Yes",C$55:M$66,11,0)</f>
        <v>0</v>
      </c>
      <c r="N67" s="289">
        <f>VLOOKUP("Yes",C$55:N$66,12,0)</f>
        <v>0</v>
      </c>
      <c r="O67" s="289">
        <f>VLOOKUP("Yes",C$55:O$66,13,0)</f>
        <v>0</v>
      </c>
      <c r="P67" s="289">
        <f>VLOOKUP("Yes",C$55:P$66,14,0)</f>
        <v>0</v>
      </c>
      <c r="Q67" s="289">
        <f>VLOOKUP("Yes",C$55:Q$66,15,0)</f>
        <v>0</v>
      </c>
      <c r="R67" s="289">
        <f>VLOOKUP("Yes",C$55:R$66,16,0)</f>
        <v>0</v>
      </c>
      <c r="S67" s="289">
        <f>VLOOKUP("Yes",C$55:S$66,17,0)</f>
        <v>0</v>
      </c>
      <c r="T67" s="289">
        <f>VLOOKUP("Yes",C$55:T$66,18,0)</f>
        <v>0</v>
      </c>
      <c r="U67" s="289">
        <f>VLOOKUP("Yes",C$55:U$66,19,0)</f>
        <v>0</v>
      </c>
      <c r="V67" s="316">
        <f>VLOOKUP("Yes",C$55:V$66,20,0)</f>
        <v>0</v>
      </c>
      <c r="W67" s="316">
        <f>VLOOKUP("Yes",C$55:W$66,21,0)</f>
        <v>0</v>
      </c>
      <c r="X67" s="289">
        <f>VLOOKUP("Yes",C$55:X$66,22,0)</f>
        <v>0</v>
      </c>
      <c r="Y67" s="289">
        <f>VLOOKUP("Yes",C$55:Y$66,23,0)</f>
        <v>0</v>
      </c>
      <c r="Z67" s="289">
        <f>VLOOKUP("Yes",C$55:Z$66,24,0)</f>
        <v>0</v>
      </c>
      <c r="AA67" s="289">
        <f>VLOOKUP("Yes",C$55:AA$66,25,0)</f>
        <v>0</v>
      </c>
      <c r="AB67" s="289">
        <f>VLOOKUP("Yes",C$55:AB$66,26,0)</f>
        <v>0</v>
      </c>
    </row>
    <row r="68" spans="1:28" hidden="1" x14ac:dyDescent="0.25">
      <c r="A68" s="310">
        <f>SUM(A62,A63)</f>
        <v>0</v>
      </c>
      <c r="D68" s="311">
        <f>IF(OR(D18&gt;0,C17&lt;0),C16*D67,0)</f>
        <v>0</v>
      </c>
      <c r="E68" s="312">
        <f>IF(C17&gt;0,C17*E67,0)</f>
        <v>0</v>
      </c>
      <c r="F68" s="289">
        <f>IF(OR(C14&gt;0,C12&gt;0),(C12+C14)*F67,0)</f>
        <v>0</v>
      </c>
      <c r="G68" s="289">
        <f>IF(OR(C13&gt;0,C15&gt;0),(C13+C15)*G67,0)</f>
        <v>0</v>
      </c>
      <c r="H68" s="289">
        <f>IF(D18&gt;=0,D18*H67,0)</f>
        <v>0</v>
      </c>
      <c r="I68" s="289">
        <f>IF(D15&gt;=0,D15*I67,0)</f>
        <v>0</v>
      </c>
      <c r="J68" s="289">
        <f>IF(D18&gt;=0,D18*J67,0)</f>
        <v>0</v>
      </c>
      <c r="K68" s="289">
        <f>IF(D15&gt;=0,D15*K67,0)</f>
        <v>0</v>
      </c>
      <c r="L68" s="289">
        <f>IF(OR(C2="Mulconda Retirement Village (Johnson Street)",C2="Tamworth Lifestyle Village (Warral Road)",C4="1_4"),IF(AND(D17&gt;=0),L67*D17,0),0)</f>
        <v>0</v>
      </c>
      <c r="M68" s="289">
        <f>IF(OR(C2="Mulconda Retirement Village (Johnson Street)",C2="Tamworth Lifestyle Village (Warral Road)",C4="1_4"),IF(AND(D15&gt;=0),M67*D15,0),0)</f>
        <v>0</v>
      </c>
      <c r="N68" s="289">
        <f>IF(AND(H27&gt;0,D17&gt;=0),D17*N67,0)</f>
        <v>0</v>
      </c>
      <c r="O68" s="289">
        <f>IF(AND(H27&gt;0,D15&gt;0),D15*O67,0)</f>
        <v>0</v>
      </c>
      <c r="P68" s="289">
        <f>IF(P67&gt;=0,P67*D17,"")</f>
        <v>0</v>
      </c>
      <c r="Q68" s="289">
        <f>IF(Q67&gt;=0,Q67*D17,"")</f>
        <v>0</v>
      </c>
      <c r="R68" s="289">
        <f>IF(R67&gt;=0,R67*D17,"")</f>
        <v>0</v>
      </c>
      <c r="S68" s="289">
        <f>IF(S67&gt;0,S67*F17,0)</f>
        <v>0</v>
      </c>
      <c r="T68" s="289">
        <f>IF(T67&gt;=0,T67*D17,"")</f>
        <v>0</v>
      </c>
      <c r="U68" s="289">
        <f>IF(U67&gt;=0,U67*D17,"")</f>
        <v>0</v>
      </c>
      <c r="V68" s="289">
        <f>IF(V67&gt;0,(V67*C7*D15)+(V67*C10*D17),0)</f>
        <v>0</v>
      </c>
      <c r="W68" s="289">
        <f>IF(W67&gt;0,(W67*C6*D15)+(W67*C9*D17),0)</f>
        <v>0</v>
      </c>
      <c r="X68" s="289">
        <f>IF(X67&gt;=0,(X67*D15)+(X67*D17),0)</f>
        <v>0</v>
      </c>
      <c r="Y68" s="289">
        <f>IF(Y67&gt;=0,(Y67*D15)+(Y67*D17),0)</f>
        <v>0</v>
      </c>
      <c r="Z68" s="289">
        <f>IF(Z67&gt;=0,(Z67*D15)+(Z67*D17),0)</f>
        <v>0</v>
      </c>
      <c r="AA68" s="289">
        <f>IF(AA67&gt;=0,AA67*D17,"")</f>
        <v>0</v>
      </c>
      <c r="AB68" s="289">
        <f>IF(AB67&gt;=0,AB67*C18,"")</f>
        <v>0</v>
      </c>
    </row>
    <row r="69" spans="1:28" hidden="1" x14ac:dyDescent="0.25">
      <c r="D69" s="311"/>
      <c r="F69" s="289">
        <f>SUM(D68:G68)</f>
        <v>0</v>
      </c>
      <c r="I69" s="289">
        <f>H68+I68</f>
        <v>0</v>
      </c>
      <c r="K69" s="289">
        <f>J68+K68</f>
        <v>0</v>
      </c>
      <c r="M69" s="289">
        <f>L68+M68</f>
        <v>0</v>
      </c>
      <c r="O69" s="289">
        <f>O68+N68</f>
        <v>0</v>
      </c>
    </row>
    <row r="70" spans="1:28" hidden="1" x14ac:dyDescent="0.25">
      <c r="D70" s="311"/>
    </row>
    <row r="71" spans="1:28" hidden="1" x14ac:dyDescent="0.25">
      <c r="D71" s="322" t="s">
        <v>1211</v>
      </c>
      <c r="E71" s="323"/>
      <c r="F71" s="323"/>
      <c r="G71" s="323"/>
      <c r="H71" s="323"/>
      <c r="I71" s="324"/>
    </row>
    <row r="72" spans="1:28" hidden="1" x14ac:dyDescent="0.25">
      <c r="B72" s="310" t="s">
        <v>55</v>
      </c>
      <c r="C72" s="325" t="s">
        <v>1212</v>
      </c>
      <c r="D72" s="326"/>
      <c r="E72" s="327"/>
      <c r="F72" s="328" t="s">
        <v>1213</v>
      </c>
      <c r="G72" s="328"/>
      <c r="H72" s="328" t="s">
        <v>1214</v>
      </c>
      <c r="I72" s="329" t="s">
        <v>1215</v>
      </c>
      <c r="V72" s="289" t="str">
        <f>IF(C2="Lampada Estate  DA0041/1999 (Old Tamworth Plan &lt;1 August 2005)",V67*C18,"")</f>
        <v/>
      </c>
      <c r="W72" s="289" t="str">
        <f>IF(C2="Lampada Estate  DA0041/1999 (Old Tamworth Plan &lt;1 August 2005)",W67*C18,"")</f>
        <v/>
      </c>
    </row>
    <row r="73" spans="1:28" ht="120" hidden="1" x14ac:dyDescent="0.25">
      <c r="B73" s="310" t="s">
        <v>1205</v>
      </c>
      <c r="C73" s="330">
        <v>5</v>
      </c>
      <c r="D73" s="331" t="s">
        <v>1216</v>
      </c>
      <c r="E73" s="332"/>
      <c r="F73" s="333">
        <v>0.4</v>
      </c>
      <c r="G73" s="333"/>
      <c r="H73" s="333">
        <v>0.6</v>
      </c>
      <c r="I73" s="334">
        <v>0.8</v>
      </c>
      <c r="J73" s="335"/>
      <c r="V73" s="289" t="str">
        <f>IF(C2="Lampada Estate  DA0204/1996 (Old Tamworth Plan &lt;1 August 2005)",V67*C18,"")</f>
        <v/>
      </c>
      <c r="W73" s="289" t="str">
        <f>IF(C2="Lampada Estate  DA0204/1996 (Old Tamworth Plan &lt;1 August 2005)",W67*C18,"")</f>
        <v/>
      </c>
    </row>
    <row r="74" spans="1:28" ht="120" hidden="1" x14ac:dyDescent="0.25">
      <c r="B74" s="310" t="s">
        <v>1206</v>
      </c>
      <c r="D74" s="331" t="s">
        <v>1217</v>
      </c>
      <c r="E74" s="332"/>
      <c r="F74" s="333">
        <v>0.5</v>
      </c>
      <c r="G74" s="333"/>
      <c r="H74" s="333">
        <v>0.75</v>
      </c>
      <c r="I74" s="336">
        <v>1</v>
      </c>
      <c r="J74" s="337"/>
      <c r="V74" s="289" t="str">
        <f>IF(C2="Tamworth Lifestyle Village (Warral Road)",V67,"")</f>
        <v/>
      </c>
      <c r="W74" s="289" t="str">
        <f>IF(C2="Tamworth Lifestyle Village (Warral Road)",W67,"")</f>
        <v/>
      </c>
    </row>
    <row r="75" spans="1:28" ht="165" hidden="1" x14ac:dyDescent="0.25">
      <c r="B75" s="310" t="s">
        <v>1218</v>
      </c>
      <c r="D75" s="338" t="s">
        <v>1219</v>
      </c>
      <c r="E75" s="339"/>
      <c r="F75" s="340">
        <v>5.1999999999999998E-2</v>
      </c>
      <c r="G75" s="340"/>
      <c r="H75" s="340">
        <v>5.1999999999999998E-2</v>
      </c>
      <c r="I75" s="341">
        <v>5.1999999999999998E-2</v>
      </c>
      <c r="J75" s="337"/>
      <c r="V75" s="289" t="str">
        <f>IF(C2="Mulconda Retirement Village (Johnson Street)",V67,"")</f>
        <v/>
      </c>
      <c r="W75" s="289" t="str">
        <f>IF(C2="Mulconda Retirement Village (Johnson Street)",W67,"")</f>
        <v/>
      </c>
    </row>
    <row r="76" spans="1:28" hidden="1" x14ac:dyDescent="0.25">
      <c r="D76" s="332"/>
      <c r="E76" s="332"/>
      <c r="H76" s="337"/>
      <c r="I76" s="333"/>
      <c r="J76" s="337"/>
      <c r="V76" s="289" t="str">
        <f>IF(C2="N/A",V68,"")</f>
        <v/>
      </c>
      <c r="W76" s="289" t="str">
        <f>IF(C2="N/A",W68,"")</f>
        <v/>
      </c>
    </row>
    <row r="77" spans="1:28" hidden="1" x14ac:dyDescent="0.25">
      <c r="D77" s="342" t="s">
        <v>1220</v>
      </c>
      <c r="E77" s="343"/>
      <c r="F77" s="343"/>
      <c r="G77" s="343"/>
      <c r="H77" s="344"/>
      <c r="I77" s="337"/>
      <c r="V77" s="289">
        <f>SUM(V72:V76)</f>
        <v>0</v>
      </c>
      <c r="W77" s="289">
        <f>SUM(W72:W76)</f>
        <v>0</v>
      </c>
    </row>
    <row r="78" spans="1:28" hidden="1" x14ac:dyDescent="0.25">
      <c r="D78" s="326"/>
      <c r="E78" s="327"/>
      <c r="F78" s="328" t="s">
        <v>1214</v>
      </c>
      <c r="G78" s="328"/>
      <c r="H78" s="329" t="s">
        <v>1221</v>
      </c>
      <c r="I78" s="337"/>
    </row>
    <row r="79" spans="1:28" ht="120" hidden="1" x14ac:dyDescent="0.25">
      <c r="D79" s="331" t="s">
        <v>1216</v>
      </c>
      <c r="E79" s="332"/>
      <c r="F79" s="333">
        <v>0.6</v>
      </c>
      <c r="G79" s="333"/>
      <c r="H79" s="345">
        <v>0.8</v>
      </c>
      <c r="I79" s="337"/>
    </row>
    <row r="80" spans="1:28" ht="120" hidden="1" x14ac:dyDescent="0.25">
      <c r="D80" s="338" t="s">
        <v>1217</v>
      </c>
      <c r="E80" s="339"/>
      <c r="F80" s="340">
        <v>0.75</v>
      </c>
      <c r="G80" s="340"/>
      <c r="H80" s="346">
        <v>1</v>
      </c>
      <c r="I80" s="337"/>
    </row>
    <row r="81" spans="4:13" hidden="1" x14ac:dyDescent="0.25">
      <c r="D81" s="347"/>
      <c r="E81" s="347"/>
      <c r="F81" s="328"/>
      <c r="G81" s="328"/>
      <c r="H81" s="348"/>
      <c r="I81" s="337"/>
    </row>
    <row r="82" spans="4:13" hidden="1" x14ac:dyDescent="0.25">
      <c r="D82" s="327" t="s">
        <v>16</v>
      </c>
      <c r="E82" s="327"/>
      <c r="F82" s="349">
        <v>1960</v>
      </c>
      <c r="G82" s="349"/>
      <c r="H82" s="349"/>
      <c r="J82" s="337"/>
    </row>
    <row r="83" spans="4:13" hidden="1" x14ac:dyDescent="0.25">
      <c r="D83" s="288" t="s">
        <v>15</v>
      </c>
      <c r="F83" s="289">
        <v>4705</v>
      </c>
      <c r="I83" s="328"/>
      <c r="J83" s="348"/>
    </row>
    <row r="84" spans="4:13" hidden="1" x14ac:dyDescent="0.25">
      <c r="I84" s="349"/>
      <c r="J84" s="349"/>
    </row>
    <row r="85" spans="4:13" hidden="1" x14ac:dyDescent="0.25"/>
    <row r="86" spans="4:13" hidden="1" x14ac:dyDescent="0.25">
      <c r="L86" s="289" t="str">
        <f>IF(OR(C2="Mulconda Retirement Village (Johnson Street)",C4="1_4"),IF(AND(C18&gt;0),L67*C18,""),"")</f>
        <v/>
      </c>
      <c r="M86" s="289" t="str">
        <f>IF(OR(C2="Mulconda Retirement Village (Johnson Street)",C4="1_4"),IF(AND(C18&gt;0),M67*C18,""),"")</f>
        <v/>
      </c>
    </row>
    <row r="87" spans="4:13" hidden="1" x14ac:dyDescent="0.25"/>
    <row r="88" spans="4:13" hidden="1" x14ac:dyDescent="0.25"/>
    <row r="89" spans="4:13" hidden="1" x14ac:dyDescent="0.25"/>
    <row r="90" spans="4:13" hidden="1" x14ac:dyDescent="0.25"/>
    <row r="91" spans="4:13" hidden="1" x14ac:dyDescent="0.25"/>
    <row r="92" spans="4:13" hidden="1" x14ac:dyDescent="0.25"/>
    <row r="93" spans="4:13" hidden="1" x14ac:dyDescent="0.25"/>
    <row r="94" spans="4:13" hidden="1" x14ac:dyDescent="0.25"/>
    <row r="95" spans="4:13" hidden="1" x14ac:dyDescent="0.25"/>
    <row r="96" spans="4:13" hidden="1" x14ac:dyDescent="0.25"/>
    <row r="97" spans="1:37" hidden="1" x14ac:dyDescent="0.25"/>
    <row r="98" spans="1:37" hidden="1" x14ac:dyDescent="0.25"/>
    <row r="99" spans="1:37" hidden="1" x14ac:dyDescent="0.25"/>
    <row r="100" spans="1:37" hidden="1" x14ac:dyDescent="0.25"/>
    <row r="101" spans="1:37" hidden="1" x14ac:dyDescent="0.25"/>
    <row r="102" spans="1:37" hidden="1" x14ac:dyDescent="0.25"/>
    <row r="103" spans="1:37" hidden="1" x14ac:dyDescent="0.25">
      <c r="C103" s="310" t="s">
        <v>1222</v>
      </c>
      <c r="D103" s="288" t="s">
        <v>654</v>
      </c>
      <c r="E103" s="289" t="s">
        <v>1223</v>
      </c>
      <c r="F103" s="350" t="s">
        <v>1224</v>
      </c>
      <c r="G103" s="350" t="s">
        <v>1225</v>
      </c>
      <c r="H103" s="289" t="s">
        <v>1226</v>
      </c>
      <c r="I103" s="289" t="s">
        <v>1227</v>
      </c>
      <c r="J103" s="289" t="s">
        <v>1228</v>
      </c>
      <c r="K103" s="289" t="s">
        <v>1229</v>
      </c>
      <c r="L103" s="289" t="s">
        <v>1230</v>
      </c>
      <c r="M103" s="289" t="s">
        <v>1231</v>
      </c>
      <c r="N103" s="350" t="s">
        <v>1232</v>
      </c>
      <c r="O103" s="289" t="s">
        <v>1233</v>
      </c>
      <c r="P103" s="289" t="s">
        <v>1234</v>
      </c>
      <c r="Q103" s="289" t="s">
        <v>1235</v>
      </c>
      <c r="R103" s="289" t="s">
        <v>1236</v>
      </c>
      <c r="S103" s="289" t="s">
        <v>1237</v>
      </c>
      <c r="T103" s="289" t="s">
        <v>1238</v>
      </c>
      <c r="U103" s="289" t="s">
        <v>1239</v>
      </c>
      <c r="V103" s="289" t="s">
        <v>1240</v>
      </c>
      <c r="W103" s="289" t="s">
        <v>1241</v>
      </c>
      <c r="X103" s="289" t="s">
        <v>1242</v>
      </c>
      <c r="Y103" s="289" t="s">
        <v>1243</v>
      </c>
      <c r="Z103" s="289" t="s">
        <v>1244</v>
      </c>
      <c r="AA103" s="289" t="s">
        <v>766</v>
      </c>
      <c r="AB103" s="289" t="s">
        <v>1245</v>
      </c>
      <c r="AC103" s="289" t="s">
        <v>1246</v>
      </c>
      <c r="AD103" s="289" t="s">
        <v>1247</v>
      </c>
      <c r="AE103" s="289" t="s">
        <v>1248</v>
      </c>
      <c r="AF103" s="289" t="s">
        <v>1249</v>
      </c>
      <c r="AG103" s="350" t="s">
        <v>1250</v>
      </c>
      <c r="AH103" s="350" t="s">
        <v>1251</v>
      </c>
      <c r="AI103" s="289" t="s">
        <v>1252</v>
      </c>
      <c r="AJ103" s="289" t="s">
        <v>1253</v>
      </c>
      <c r="AK103" s="289" t="s">
        <v>1254</v>
      </c>
    </row>
    <row r="104" spans="1:37" s="316" customFormat="1" hidden="1" x14ac:dyDescent="0.25">
      <c r="A104" s="317" t="s">
        <v>1146</v>
      </c>
      <c r="B104" s="317" t="str">
        <f>IF(C3=A104,"Yes","No")</f>
        <v>No</v>
      </c>
      <c r="C104" s="351" t="s">
        <v>1255</v>
      </c>
      <c r="D104" s="352" t="s">
        <v>1256</v>
      </c>
      <c r="E104" s="318" t="s">
        <v>1257</v>
      </c>
      <c r="F104" s="350" t="s">
        <v>1258</v>
      </c>
      <c r="G104" s="350" t="s">
        <v>1259</v>
      </c>
      <c r="H104" s="316" t="s">
        <v>1260</v>
      </c>
      <c r="I104" s="316" t="s">
        <v>1260</v>
      </c>
      <c r="J104" s="316" t="s">
        <v>1260</v>
      </c>
      <c r="K104" s="316" t="s">
        <v>1260</v>
      </c>
      <c r="L104" s="316" t="s">
        <v>1261</v>
      </c>
      <c r="M104" s="316" t="s">
        <v>1262</v>
      </c>
      <c r="N104" s="350"/>
      <c r="Q104" s="316" t="s">
        <v>1263</v>
      </c>
      <c r="R104" s="316" t="s">
        <v>1264</v>
      </c>
      <c r="AG104" s="350"/>
      <c r="AH104" s="350"/>
    </row>
    <row r="105" spans="1:37" s="355" customFormat="1" hidden="1" x14ac:dyDescent="0.25">
      <c r="A105" s="286" t="s">
        <v>1265</v>
      </c>
      <c r="B105" s="317" t="str">
        <f>IF(C3=A105,"Yes","No")</f>
        <v>No</v>
      </c>
      <c r="C105" s="351"/>
      <c r="D105" s="353"/>
      <c r="E105" s="354"/>
      <c r="F105" s="350"/>
      <c r="G105" s="350"/>
      <c r="N105" s="350"/>
      <c r="R105" s="316" t="s">
        <v>1266</v>
      </c>
      <c r="Y105" s="355" t="s">
        <v>1267</v>
      </c>
      <c r="Z105" s="355" t="s">
        <v>1268</v>
      </c>
      <c r="AA105" s="355" t="s">
        <v>1269</v>
      </c>
      <c r="AB105" s="355" t="s">
        <v>1270</v>
      </c>
      <c r="AC105" s="355" t="s">
        <v>1271</v>
      </c>
      <c r="AD105" s="355" t="s">
        <v>1272</v>
      </c>
      <c r="AE105" s="355" t="s">
        <v>1273</v>
      </c>
      <c r="AG105" s="350"/>
      <c r="AH105" s="350"/>
    </row>
    <row r="106" spans="1:37" s="355" customFormat="1" hidden="1" x14ac:dyDescent="0.25">
      <c r="A106" s="286" t="s">
        <v>1203</v>
      </c>
      <c r="B106" s="317" t="str">
        <f>IF(C3=A106,"Yes","No")</f>
        <v>No</v>
      </c>
      <c r="C106" s="351"/>
      <c r="D106" s="353"/>
      <c r="E106" s="354"/>
      <c r="F106" s="350"/>
      <c r="G106" s="350"/>
      <c r="N106" s="350"/>
      <c r="R106" s="316" t="s">
        <v>1266</v>
      </c>
      <c r="Y106" s="355" t="s">
        <v>1267</v>
      </c>
      <c r="Z106" s="355" t="s">
        <v>1268</v>
      </c>
      <c r="AA106" s="355" t="s">
        <v>1269</v>
      </c>
      <c r="AB106" s="355" t="s">
        <v>1270</v>
      </c>
      <c r="AC106" s="355" t="s">
        <v>1271</v>
      </c>
      <c r="AD106" s="355" t="s">
        <v>1272</v>
      </c>
      <c r="AE106" s="355" t="s">
        <v>1273</v>
      </c>
      <c r="AG106" s="350"/>
      <c r="AH106" s="350"/>
    </row>
    <row r="107" spans="1:37" s="355" customFormat="1" hidden="1" x14ac:dyDescent="0.25">
      <c r="A107" s="286" t="s">
        <v>1182</v>
      </c>
      <c r="B107" s="317" t="str">
        <f>IF(C3=A107,"Yes","No")</f>
        <v>No</v>
      </c>
      <c r="C107" s="351"/>
      <c r="D107" s="353"/>
      <c r="E107" s="354"/>
      <c r="F107" s="350"/>
      <c r="G107" s="350"/>
      <c r="N107" s="350"/>
      <c r="Q107" s="355" t="s">
        <v>1274</v>
      </c>
      <c r="R107" s="355" t="s">
        <v>1275</v>
      </c>
      <c r="S107" s="355" t="s">
        <v>1276</v>
      </c>
      <c r="T107" s="355" t="s">
        <v>1277</v>
      </c>
      <c r="U107" s="355" t="s">
        <v>1278</v>
      </c>
      <c r="V107" s="355" t="s">
        <v>1279</v>
      </c>
      <c r="W107" s="355" t="s">
        <v>1274</v>
      </c>
      <c r="X107" s="355" t="s">
        <v>1275</v>
      </c>
      <c r="AG107" s="350"/>
      <c r="AH107" s="350"/>
    </row>
    <row r="108" spans="1:37" s="355" customFormat="1" hidden="1" x14ac:dyDescent="0.25">
      <c r="A108" s="286" t="s">
        <v>1204</v>
      </c>
      <c r="B108" s="317" t="str">
        <f>IF(C3=A108,"Yes","No")</f>
        <v>No</v>
      </c>
      <c r="C108" s="351"/>
      <c r="D108" s="353"/>
      <c r="E108" s="354"/>
      <c r="F108" s="350"/>
      <c r="G108" s="350"/>
      <c r="N108" s="350"/>
      <c r="Q108" s="355" t="s">
        <v>1280</v>
      </c>
      <c r="R108" s="355" t="s">
        <v>1281</v>
      </c>
      <c r="AF108" s="355" t="s">
        <v>1282</v>
      </c>
      <c r="AG108" s="350" t="s">
        <v>1283</v>
      </c>
      <c r="AH108" s="350" t="s">
        <v>1284</v>
      </c>
      <c r="AI108" s="355" t="s">
        <v>1285</v>
      </c>
      <c r="AJ108" s="355" t="s">
        <v>1281</v>
      </c>
    </row>
    <row r="109" spans="1:37" s="316" customFormat="1" hidden="1" x14ac:dyDescent="0.25">
      <c r="A109" s="317" t="s">
        <v>1183</v>
      </c>
      <c r="B109" s="317" t="str">
        <f>IF(C3=A109,"Yes","No")</f>
        <v>No</v>
      </c>
      <c r="C109" s="351" t="s">
        <v>1255</v>
      </c>
      <c r="D109" s="352" t="s">
        <v>1256</v>
      </c>
      <c r="E109" s="318" t="s">
        <v>1257</v>
      </c>
      <c r="F109" s="350" t="s">
        <v>1258</v>
      </c>
      <c r="G109" s="350" t="s">
        <v>1259</v>
      </c>
      <c r="H109" s="316" t="s">
        <v>1260</v>
      </c>
      <c r="I109" s="316" t="s">
        <v>1260</v>
      </c>
      <c r="J109" s="316" t="s">
        <v>1260</v>
      </c>
      <c r="K109" s="316" t="s">
        <v>1260</v>
      </c>
      <c r="L109" s="316" t="s">
        <v>1261</v>
      </c>
      <c r="M109" s="316" t="s">
        <v>1262</v>
      </c>
      <c r="N109" s="350"/>
      <c r="R109" s="316" t="s">
        <v>1266</v>
      </c>
      <c r="S109" s="316" t="s">
        <v>1276</v>
      </c>
      <c r="AB109" s="316" t="s">
        <v>1270</v>
      </c>
      <c r="AC109" s="316" t="s">
        <v>1271</v>
      </c>
      <c r="AG109" s="350"/>
      <c r="AH109" s="350"/>
    </row>
    <row r="110" spans="1:37" s="316" customFormat="1" hidden="1" x14ac:dyDescent="0.25">
      <c r="A110" s="317" t="s">
        <v>1286</v>
      </c>
      <c r="B110" s="317" t="str">
        <f>IF(C3=A110,"Yes","No")</f>
        <v>No</v>
      </c>
      <c r="C110" s="351" t="s">
        <v>1255</v>
      </c>
      <c r="D110" s="352" t="s">
        <v>1256</v>
      </c>
      <c r="E110" s="318" t="s">
        <v>1257</v>
      </c>
      <c r="F110" s="350" t="s">
        <v>1258</v>
      </c>
      <c r="G110" s="350" t="s">
        <v>1259</v>
      </c>
      <c r="H110" s="316" t="s">
        <v>1260</v>
      </c>
      <c r="I110" s="316" t="s">
        <v>1260</v>
      </c>
      <c r="J110" s="316" t="s">
        <v>1260</v>
      </c>
      <c r="K110" s="316" t="s">
        <v>1260</v>
      </c>
      <c r="L110" s="316" t="s">
        <v>1261</v>
      </c>
      <c r="M110" s="316" t="s">
        <v>1262</v>
      </c>
      <c r="N110" s="350"/>
      <c r="R110" s="316" t="s">
        <v>1266</v>
      </c>
      <c r="S110" s="316" t="s">
        <v>1276</v>
      </c>
      <c r="AB110" s="316" t="s">
        <v>1270</v>
      </c>
      <c r="AC110" s="316" t="s">
        <v>1271</v>
      </c>
      <c r="AD110" s="316" t="s">
        <v>1272</v>
      </c>
      <c r="AE110" s="316" t="s">
        <v>1273</v>
      </c>
      <c r="AG110" s="350"/>
      <c r="AH110" s="350"/>
    </row>
    <row r="111" spans="1:37" hidden="1" x14ac:dyDescent="0.25">
      <c r="A111" s="310" t="s">
        <v>1205</v>
      </c>
      <c r="B111" s="317" t="str">
        <f>IF(C2=A111,"Yes","No")</f>
        <v>No</v>
      </c>
      <c r="C111" s="351" t="s">
        <v>1255</v>
      </c>
      <c r="D111" s="288" t="s">
        <v>1256</v>
      </c>
      <c r="E111" s="311" t="s">
        <v>1257</v>
      </c>
      <c r="F111" s="350" t="s">
        <v>1258</v>
      </c>
      <c r="G111" s="350" t="s">
        <v>1259</v>
      </c>
      <c r="H111" s="289" t="s">
        <v>1260</v>
      </c>
      <c r="I111" s="289" t="s">
        <v>1260</v>
      </c>
      <c r="J111" s="289" t="s">
        <v>1260</v>
      </c>
      <c r="K111" s="289" t="s">
        <v>1260</v>
      </c>
      <c r="L111" s="289" t="s">
        <v>1261</v>
      </c>
      <c r="M111" s="289" t="s">
        <v>1262</v>
      </c>
      <c r="N111" s="350"/>
      <c r="Q111" s="289" t="s">
        <v>1263</v>
      </c>
      <c r="R111" s="289" t="s">
        <v>1264</v>
      </c>
      <c r="AG111" s="350"/>
      <c r="AH111" s="350"/>
      <c r="AK111" s="289" t="s">
        <v>1287</v>
      </c>
    </row>
    <row r="112" spans="1:37" hidden="1" x14ac:dyDescent="0.25">
      <c r="A112" s="310" t="s">
        <v>1206</v>
      </c>
      <c r="B112" s="317" t="str">
        <f>IF(C2=A112,"Yes","No")</f>
        <v>No</v>
      </c>
      <c r="C112" s="351" t="s">
        <v>1255</v>
      </c>
      <c r="D112" s="288" t="s">
        <v>1256</v>
      </c>
      <c r="E112" s="311" t="s">
        <v>1257</v>
      </c>
      <c r="F112" s="350" t="s">
        <v>1258</v>
      </c>
      <c r="G112" s="350" t="s">
        <v>1259</v>
      </c>
      <c r="H112" s="289" t="s">
        <v>1260</v>
      </c>
      <c r="I112" s="289" t="s">
        <v>1260</v>
      </c>
      <c r="J112" s="289" t="s">
        <v>1260</v>
      </c>
      <c r="K112" s="289" t="s">
        <v>1260</v>
      </c>
      <c r="L112" s="289" t="s">
        <v>1261</v>
      </c>
      <c r="M112" s="289" t="s">
        <v>1262</v>
      </c>
      <c r="N112" s="350"/>
      <c r="Q112" s="289" t="s">
        <v>1263</v>
      </c>
      <c r="R112" s="289" t="s">
        <v>1264</v>
      </c>
      <c r="AG112" s="350"/>
      <c r="AH112" s="350"/>
    </row>
    <row r="113" spans="1:37" s="315" customFormat="1" hidden="1" x14ac:dyDescent="0.25">
      <c r="A113" s="313" t="s">
        <v>1209</v>
      </c>
      <c r="B113" s="317" t="str">
        <f>IF(C2=A113,"Yes","No")</f>
        <v>No</v>
      </c>
      <c r="C113" s="351"/>
      <c r="D113" s="356" t="s">
        <v>1288</v>
      </c>
      <c r="E113" s="314" t="s">
        <v>1289</v>
      </c>
      <c r="F113" s="350" t="s">
        <v>1290</v>
      </c>
      <c r="G113" s="350"/>
      <c r="N113" s="350" t="s">
        <v>1291</v>
      </c>
      <c r="O113" s="350" t="s">
        <v>1292</v>
      </c>
      <c r="P113" s="350" t="s">
        <v>1293</v>
      </c>
      <c r="Q113" s="315" t="s">
        <v>1294</v>
      </c>
      <c r="R113" s="315" t="s">
        <v>1295</v>
      </c>
      <c r="AG113" s="350"/>
      <c r="AH113" s="350"/>
    </row>
    <row r="114" spans="1:37" s="315" customFormat="1" hidden="1" x14ac:dyDescent="0.25">
      <c r="A114" s="313" t="s">
        <v>1210</v>
      </c>
      <c r="B114" s="317" t="str">
        <f>IF(C2=A114,"Yes","No")</f>
        <v>No</v>
      </c>
      <c r="C114" s="351"/>
      <c r="D114" s="356" t="s">
        <v>1288</v>
      </c>
      <c r="E114" s="314" t="s">
        <v>1289</v>
      </c>
      <c r="F114" s="350" t="s">
        <v>1290</v>
      </c>
      <c r="G114" s="350"/>
      <c r="N114" s="350" t="s">
        <v>1291</v>
      </c>
      <c r="O114" s="350" t="s">
        <v>1292</v>
      </c>
      <c r="P114" s="350" t="s">
        <v>1293</v>
      </c>
      <c r="Q114" s="315" t="s">
        <v>1294</v>
      </c>
      <c r="R114" s="315" t="s">
        <v>1295</v>
      </c>
      <c r="AG114" s="350"/>
      <c r="AH114" s="350"/>
    </row>
    <row r="115" spans="1:37" hidden="1" x14ac:dyDescent="0.25">
      <c r="B115" s="317"/>
      <c r="C115" s="351" t="e">
        <f>VLOOKUP("Yes",B$104:C$114,2,0)</f>
        <v>#N/A</v>
      </c>
      <c r="D115" s="357" t="e">
        <f>VLOOKUP("Yes",B$104:D$114,3,0)</f>
        <v>#N/A</v>
      </c>
      <c r="E115" s="310" t="e">
        <f>VLOOKUP("Yes",B$104:E$114,4,0)</f>
        <v>#N/A</v>
      </c>
      <c r="F115" s="358" t="e">
        <f>VLOOKUP("Yes",B$104:F$114,5,0)</f>
        <v>#N/A</v>
      </c>
      <c r="G115" s="358" t="e">
        <f>VLOOKUP("Yes",B$104:G$114,6,0)</f>
        <v>#N/A</v>
      </c>
      <c r="H115" s="310" t="e">
        <f>VLOOKUP("Yes",B$104:H$114,7,0)</f>
        <v>#N/A</v>
      </c>
      <c r="I115" s="310" t="e">
        <f>VLOOKUP("Yes",B$104:I$114,8,0)</f>
        <v>#N/A</v>
      </c>
      <c r="J115" s="310" t="e">
        <f>VLOOKUP("Yes",B$104:J$114,9,0)</f>
        <v>#N/A</v>
      </c>
      <c r="K115" s="310" t="e">
        <f>VLOOKUP("Yes",B$104:K$114,10,0)</f>
        <v>#N/A</v>
      </c>
      <c r="L115" s="310" t="e">
        <f>VLOOKUP("Yes",B$104:L$114,11,0)</f>
        <v>#N/A</v>
      </c>
      <c r="M115" s="310" t="e">
        <f>VLOOKUP("Yes",B$104:M$114,12,0)</f>
        <v>#N/A</v>
      </c>
      <c r="N115" s="358" t="e">
        <f>VLOOKUP("Yes",B$104:N$114,13,0)</f>
        <v>#N/A</v>
      </c>
      <c r="O115" s="310" t="e">
        <f>VLOOKUP("Yes",B$104:O$114,14,0)</f>
        <v>#N/A</v>
      </c>
      <c r="P115" s="310" t="e">
        <f>VLOOKUP("Yes",B$104:P$114,15,0)</f>
        <v>#N/A</v>
      </c>
      <c r="Q115" s="310" t="e">
        <f>VLOOKUP("Yes",B$104:Q$114,16,0)</f>
        <v>#N/A</v>
      </c>
      <c r="R115" s="310" t="e">
        <f>VLOOKUP("Yes",B$104:R$114,17,0)</f>
        <v>#N/A</v>
      </c>
      <c r="S115" s="310" t="e">
        <f>VLOOKUP("Yes",B$104:S$114,18,0)</f>
        <v>#N/A</v>
      </c>
      <c r="T115" s="310" t="e">
        <f>VLOOKUP("Yes",B$104:T$114,19,0)</f>
        <v>#N/A</v>
      </c>
      <c r="U115" s="310" t="e">
        <f>VLOOKUP("Yes",B$104:U$114,20,0)</f>
        <v>#N/A</v>
      </c>
      <c r="V115" s="310" t="e">
        <f>VLOOKUP("Yes",B$104:V$114,21,0)</f>
        <v>#N/A</v>
      </c>
      <c r="W115" s="310" t="e">
        <f>VLOOKUP("Yes",B$104:W$114,21,0)</f>
        <v>#N/A</v>
      </c>
      <c r="X115" s="310" t="e">
        <f>VLOOKUP("Yes",B$104:X$114,23,0)</f>
        <v>#N/A</v>
      </c>
      <c r="Y115" s="310" t="e">
        <f>VLOOKUP("Yes",B$104:Y$114,24,0)</f>
        <v>#N/A</v>
      </c>
      <c r="Z115" s="310" t="e">
        <f>VLOOKUP("Yes",B$104:Z$114,25,0)</f>
        <v>#N/A</v>
      </c>
      <c r="AA115" s="310" t="e">
        <f>VLOOKUP("Yes",B$104:AA$114,26,0)</f>
        <v>#N/A</v>
      </c>
      <c r="AB115" s="310" t="e">
        <f>VLOOKUP("Yes",B$104:AB$114,27,0)</f>
        <v>#N/A</v>
      </c>
      <c r="AC115" s="310" t="e">
        <f>VLOOKUP("Yes",B$104:AC$114,28,0)</f>
        <v>#N/A</v>
      </c>
      <c r="AD115" s="310" t="e">
        <f>VLOOKUP("Yes",B$104:AD$114,29,0)</f>
        <v>#N/A</v>
      </c>
      <c r="AE115" s="310" t="e">
        <f>VLOOKUP("Yes",B$104:AE$114,30,0)</f>
        <v>#N/A</v>
      </c>
      <c r="AF115" s="310" t="e">
        <f>VLOOKUP("Yes",B$104:AF$114,31,0)</f>
        <v>#N/A</v>
      </c>
      <c r="AG115" s="310" t="e">
        <f>VLOOKUP("Yes",B$104:AG$114,32,0)</f>
        <v>#N/A</v>
      </c>
      <c r="AH115" s="310" t="e">
        <f>VLOOKUP("Yes",B$104:AH$114,33,0)</f>
        <v>#N/A</v>
      </c>
      <c r="AI115" s="310" t="e">
        <f>VLOOKUP("Yes",B$104:AI$114,34,0)</f>
        <v>#N/A</v>
      </c>
      <c r="AJ115" s="310" t="e">
        <f>VLOOKUP("Yes",B$104:AJ$114,35,0)</f>
        <v>#N/A</v>
      </c>
      <c r="AK115" s="310" t="e">
        <f>VLOOKUP("Yes",B$104:AK$114,36,0)</f>
        <v>#N/A</v>
      </c>
    </row>
    <row r="116" spans="1:37" hidden="1" x14ac:dyDescent="0.25">
      <c r="E116" s="311"/>
    </row>
    <row r="117" spans="1:37" hidden="1" x14ac:dyDescent="0.25">
      <c r="C117" s="310">
        <f>IF(C60="Yes",1,0)</f>
        <v>0</v>
      </c>
      <c r="E117" s="311"/>
      <c r="H117" s="289" t="str">
        <f>IF(C61="Yes","Yes","")</f>
        <v/>
      </c>
      <c r="I117" s="289" t="s">
        <v>1296</v>
      </c>
    </row>
    <row r="118" spans="1:37" hidden="1" x14ac:dyDescent="0.25">
      <c r="C118" s="310">
        <f>IF(B104="Yes",1,0)</f>
        <v>0</v>
      </c>
      <c r="E118" s="311"/>
      <c r="H118" s="289" t="str">
        <f>IF(C60="Yes","Yes","")</f>
        <v/>
      </c>
      <c r="I118" s="289" t="s">
        <v>1297</v>
      </c>
    </row>
    <row r="119" spans="1:37" hidden="1" x14ac:dyDescent="0.25">
      <c r="C119" s="310">
        <f>IF(B109="Yes",1,0)</f>
        <v>0</v>
      </c>
      <c r="E119" s="311"/>
      <c r="H119" s="359" t="str">
        <f>IF(AND(C4="1_4",C123&gt;0),"Yes","")</f>
        <v/>
      </c>
      <c r="I119" s="289" t="s">
        <v>1260</v>
      </c>
      <c r="S119" s="289" t="str">
        <f>IF(B123&gt;0,"Yes","")</f>
        <v/>
      </c>
      <c r="T119" s="289" t="s">
        <v>1276</v>
      </c>
    </row>
    <row r="120" spans="1:37" hidden="1" x14ac:dyDescent="0.25">
      <c r="B120" s="310">
        <f>IF(B107="Yes",1,0)</f>
        <v>0</v>
      </c>
      <c r="C120" s="310">
        <f>IF(B110="Yes",1,0)</f>
        <v>0</v>
      </c>
      <c r="E120" s="311"/>
      <c r="H120" s="359" t="str">
        <f>IF(AND(C4=5,C123&gt;0),"Yes","")</f>
        <v/>
      </c>
      <c r="I120" s="289" t="s">
        <v>1261</v>
      </c>
      <c r="S120" s="289" t="str">
        <f>IF(B108="Yes","Yes","")</f>
        <v/>
      </c>
      <c r="T120" s="289" t="s">
        <v>1282</v>
      </c>
    </row>
    <row r="121" spans="1:37" hidden="1" x14ac:dyDescent="0.25">
      <c r="B121" s="310">
        <f>IF(B109="Yes",1,0)</f>
        <v>0</v>
      </c>
      <c r="C121" s="310">
        <f>IF(B111="Yes",1,0)</f>
        <v>0</v>
      </c>
      <c r="E121" s="311"/>
      <c r="I121" s="289" t="e">
        <f>VLOOKUP("Yes",H$117:I$120,2,0)</f>
        <v>#N/A</v>
      </c>
      <c r="T121" s="289" t="e">
        <f>VLOOKUP("Yes",S$119:T$120,2,0)</f>
        <v>#N/A</v>
      </c>
    </row>
    <row r="122" spans="1:37" hidden="1" x14ac:dyDescent="0.25">
      <c r="B122" s="310">
        <f>IF(B110="Yes",1,0)</f>
        <v>0</v>
      </c>
      <c r="C122" s="310">
        <f>IF(B112="Yes",1,0)</f>
        <v>0</v>
      </c>
    </row>
    <row r="123" spans="1:37" hidden="1" x14ac:dyDescent="0.25">
      <c r="B123" s="310">
        <f>SUM(B120:B122)</f>
        <v>0</v>
      </c>
      <c r="C123" s="310">
        <f>SUM(C117:C122)</f>
        <v>0</v>
      </c>
    </row>
    <row r="124" spans="1:37" hidden="1" x14ac:dyDescent="0.25">
      <c r="C124" s="310" t="str">
        <f>IF(C123&gt;0,C115,"")</f>
        <v/>
      </c>
    </row>
  </sheetData>
  <sheetProtection password="CA6B" sheet="1" objects="1" scenarios="1" selectLockedCells="1"/>
  <mergeCells count="5">
    <mergeCell ref="B1:C1"/>
    <mergeCell ref="A2:A3"/>
    <mergeCell ref="A6:A10"/>
    <mergeCell ref="A12:A17"/>
    <mergeCell ref="B32:B33"/>
  </mergeCells>
  <conditionalFormatting sqref="C28">
    <cfRule type="expression" dxfId="2" priority="1">
      <formula>C28=FALSE</formula>
    </cfRule>
  </conditionalFormatting>
  <dataValidations count="3">
    <dataValidation type="list" allowBlank="1" showInputMessage="1" showErrorMessage="1" sqref="C2">
      <formula1>Development</formula1>
    </dataValidation>
    <dataValidation type="list" allowBlank="1" showInputMessage="1" showErrorMessage="1" sqref="C3">
      <formula1>PlanList</formula1>
    </dataValidation>
    <dataValidation type="list" allowBlank="1" showInputMessage="1" showErrorMessage="1" sqref="C4:C5">
      <formula1>catch</formula1>
    </dataValidation>
  </dataValidations>
  <pageMargins left="0" right="0" top="0" bottom="0" header="0" footer="0"/>
  <pageSetup paperSize="9" scale="69" orientation="landscape" r:id="rId1"/>
  <drawing r:id="rId2"/>
  <legacyDrawing r:id="rId3"/>
  <controls>
    <mc:AlternateContent xmlns:mc="http://schemas.openxmlformats.org/markup-compatibility/2006">
      <mc:Choice Requires="x14">
        <control shapeId="11267" r:id="rId4" name="CommandButton2">
          <controlPr locked="0" defaultSize="0" print="0" autoLine="0" r:id="rId5">
            <anchor moveWithCells="1" sizeWithCells="1">
              <from>
                <xdr:col>2</xdr:col>
                <xdr:colOff>2924175</xdr:colOff>
                <xdr:row>0</xdr:row>
                <xdr:rowOff>38100</xdr:rowOff>
              </from>
              <to>
                <xdr:col>2</xdr:col>
                <xdr:colOff>4124325</xdr:colOff>
                <xdr:row>0</xdr:row>
                <xdr:rowOff>381000</xdr:rowOff>
              </to>
            </anchor>
          </controlPr>
        </control>
      </mc:Choice>
      <mc:Fallback>
        <control shapeId="11267" r:id="rId4" name="CommandButton2"/>
      </mc:Fallback>
    </mc:AlternateContent>
    <mc:AlternateContent xmlns:mc="http://schemas.openxmlformats.org/markup-compatibility/2006">
      <mc:Choice Requires="x14">
        <control shapeId="11265" r:id="rId6" name="CommandButton1">
          <controlPr defaultSize="0" autoLine="0" r:id="rId7">
            <anchor moveWithCells="1">
              <from>
                <xdr:col>2</xdr:col>
                <xdr:colOff>1819275</xdr:colOff>
                <xdr:row>0</xdr:row>
                <xdr:rowOff>19050</xdr:rowOff>
              </from>
              <to>
                <xdr:col>2</xdr:col>
                <xdr:colOff>2771775</xdr:colOff>
                <xdr:row>0</xdr:row>
                <xdr:rowOff>390525</xdr:rowOff>
              </to>
            </anchor>
          </controlPr>
        </control>
      </mc:Choice>
      <mc:Fallback>
        <control shapeId="11265" r:id="rId6" name="CommandButton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4:Z19"/>
  <sheetViews>
    <sheetView workbookViewId="0">
      <selection activeCell="B38" sqref="B38"/>
    </sheetView>
  </sheetViews>
  <sheetFormatPr defaultRowHeight="15" x14ac:dyDescent="0.25"/>
  <cols>
    <col min="1" max="1" width="9.140625" style="649"/>
    <col min="2" max="2" width="72.85546875" style="649" bestFit="1" customWidth="1"/>
    <col min="3" max="3" width="18" style="649" customWidth="1"/>
    <col min="4" max="5" width="16.85546875" style="649" bestFit="1" customWidth="1"/>
    <col min="6" max="7" width="16.7109375" style="649" bestFit="1" customWidth="1"/>
    <col min="8" max="9" width="14.7109375" style="649" bestFit="1" customWidth="1"/>
    <col min="10" max="11" width="19.85546875" style="649" bestFit="1" customWidth="1"/>
    <col min="12" max="13" width="18.140625" style="649" bestFit="1" customWidth="1"/>
    <col min="14" max="14" width="15.28515625" style="649" bestFit="1" customWidth="1"/>
    <col min="15" max="15" width="9.140625" style="649"/>
    <col min="16" max="16" width="11.28515625" style="649" bestFit="1" customWidth="1"/>
    <col min="17" max="17" width="13.5703125" style="649" bestFit="1" customWidth="1"/>
    <col min="18" max="18" width="9.140625" style="649"/>
    <col min="19" max="19" width="10.42578125" style="649" bestFit="1" customWidth="1"/>
    <col min="20" max="20" width="10" style="649" bestFit="1" customWidth="1"/>
    <col min="21" max="21" width="9.140625" style="649"/>
    <col min="22" max="22" width="10.28515625" style="649" bestFit="1" customWidth="1"/>
    <col min="23" max="23" width="14.7109375" style="649" bestFit="1" customWidth="1"/>
    <col min="24" max="24" width="9.140625" style="649"/>
    <col min="25" max="25" width="16.5703125" style="649" bestFit="1" customWidth="1"/>
    <col min="26" max="26" width="11.85546875" style="649" bestFit="1" customWidth="1"/>
    <col min="27" max="16384" width="9.140625" style="649"/>
  </cols>
  <sheetData>
    <row r="4" spans="2:26" x14ac:dyDescent="0.25">
      <c r="D4" s="649" t="s">
        <v>1184</v>
      </c>
      <c r="E4" s="649" t="s">
        <v>1185</v>
      </c>
      <c r="F4" s="649" t="s">
        <v>1186</v>
      </c>
      <c r="G4" s="649" t="s">
        <v>1187</v>
      </c>
      <c r="H4" s="649" t="s">
        <v>1188</v>
      </c>
      <c r="I4" s="649" t="s">
        <v>1189</v>
      </c>
      <c r="J4" s="649" t="s">
        <v>1190</v>
      </c>
      <c r="K4" s="649" t="s">
        <v>1191</v>
      </c>
      <c r="L4" s="649" t="s">
        <v>1192</v>
      </c>
      <c r="M4" s="649" t="s">
        <v>1193</v>
      </c>
      <c r="N4" s="649" t="s">
        <v>1169</v>
      </c>
      <c r="O4" s="649" t="s">
        <v>1170</v>
      </c>
      <c r="P4" s="649" t="s">
        <v>1171</v>
      </c>
      <c r="Q4" s="649" t="s">
        <v>439</v>
      </c>
      <c r="R4" s="649" t="s">
        <v>1194</v>
      </c>
      <c r="S4" s="649" t="s">
        <v>1195</v>
      </c>
      <c r="T4" s="649" t="s">
        <v>1196</v>
      </c>
      <c r="U4" s="649" t="s">
        <v>1197</v>
      </c>
      <c r="V4" s="649" t="s">
        <v>1198</v>
      </c>
      <c r="W4" s="649" t="s">
        <v>764</v>
      </c>
      <c r="X4" s="649" t="s">
        <v>1199</v>
      </c>
      <c r="Y4" s="649" t="s">
        <v>1200</v>
      </c>
      <c r="Z4" s="649" t="s">
        <v>1201</v>
      </c>
    </row>
    <row r="5" spans="2:26" x14ac:dyDescent="0.25">
      <c r="B5" s="649" t="s">
        <v>1146</v>
      </c>
      <c r="D5" s="649">
        <v>1523</v>
      </c>
      <c r="E5" s="649">
        <v>761</v>
      </c>
      <c r="F5" s="649">
        <v>359</v>
      </c>
      <c r="G5" s="649">
        <v>179</v>
      </c>
      <c r="H5" s="649">
        <v>196</v>
      </c>
      <c r="I5" s="649">
        <v>98</v>
      </c>
      <c r="J5" s="649">
        <v>1095</v>
      </c>
      <c r="K5" s="649">
        <v>547</v>
      </c>
      <c r="L5" s="649">
        <v>2546</v>
      </c>
      <c r="M5" s="649">
        <v>1273</v>
      </c>
      <c r="T5" s="649">
        <v>4705</v>
      </c>
      <c r="U5" s="649">
        <v>1960</v>
      </c>
    </row>
    <row r="6" spans="2:26" x14ac:dyDescent="0.25">
      <c r="B6" s="649" t="s">
        <v>1183</v>
      </c>
      <c r="F6" s="649">
        <v>538</v>
      </c>
      <c r="N6" s="649">
        <v>2353</v>
      </c>
      <c r="O6" s="649">
        <v>422</v>
      </c>
      <c r="V6" s="649">
        <v>8487</v>
      </c>
      <c r="W6" s="649">
        <v>10773</v>
      </c>
      <c r="X6" s="649">
        <v>262</v>
      </c>
    </row>
    <row r="7" spans="2:26" x14ac:dyDescent="0.25">
      <c r="B7" s="649" t="s">
        <v>1286</v>
      </c>
      <c r="P7" s="649">
        <v>3680</v>
      </c>
      <c r="Q7" s="649">
        <v>264</v>
      </c>
      <c r="T7" s="649">
        <v>818</v>
      </c>
      <c r="U7" s="649">
        <v>818</v>
      </c>
    </row>
    <row r="8" spans="2:26" x14ac:dyDescent="0.25">
      <c r="B8" s="649" t="s">
        <v>1265</v>
      </c>
      <c r="Q8" s="649">
        <v>440</v>
      </c>
      <c r="R8" s="649">
        <v>398</v>
      </c>
      <c r="S8" s="649">
        <v>307</v>
      </c>
      <c r="T8" s="649">
        <v>1595</v>
      </c>
      <c r="U8" s="649">
        <v>1916</v>
      </c>
    </row>
    <row r="9" spans="2:26" x14ac:dyDescent="0.25">
      <c r="B9" s="649" t="s">
        <v>1182</v>
      </c>
    </row>
    <row r="10" spans="2:26" x14ac:dyDescent="0.25">
      <c r="B10" s="649" t="s">
        <v>1204</v>
      </c>
    </row>
    <row r="15" spans="2:26" x14ac:dyDescent="0.25">
      <c r="B15" s="649" t="s">
        <v>55</v>
      </c>
    </row>
    <row r="16" spans="2:26" x14ac:dyDescent="0.25">
      <c r="B16" s="649" t="s">
        <v>1205</v>
      </c>
    </row>
    <row r="17" spans="2:2" x14ac:dyDescent="0.25">
      <c r="B17" s="649" t="s">
        <v>1206</v>
      </c>
    </row>
    <row r="18" spans="2:2" x14ac:dyDescent="0.25">
      <c r="B18" s="649" t="s">
        <v>1209</v>
      </c>
    </row>
    <row r="19" spans="2:2" x14ac:dyDescent="0.25">
      <c r="B19" s="649" t="s">
        <v>1210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249977111117893"/>
    <pageSetUpPr fitToPage="1"/>
  </sheetPr>
  <dimension ref="A1:AG260"/>
  <sheetViews>
    <sheetView showGridLines="0" zoomScaleNormal="100" zoomScalePageLayoutView="150" workbookViewId="0">
      <selection activeCell="D2" sqref="D2:F2"/>
    </sheetView>
  </sheetViews>
  <sheetFormatPr defaultColWidth="0" defaultRowHeight="15" customHeight="1" zeroHeight="1" x14ac:dyDescent="0.25"/>
  <cols>
    <col min="1" max="1" width="1.140625" style="380" customWidth="1"/>
    <col min="2" max="2" width="27.28515625" style="380" customWidth="1"/>
    <col min="3" max="3" width="0.85546875" style="380" customWidth="1"/>
    <col min="4" max="4" width="10.140625" style="636" customWidth="1"/>
    <col min="5" max="5" width="1.7109375" style="637" customWidth="1"/>
    <col min="6" max="6" width="10.5703125" style="636" customWidth="1"/>
    <col min="7" max="7" width="1.7109375" style="638" customWidth="1"/>
    <col min="8" max="8" width="11.140625" style="639" customWidth="1"/>
    <col min="9" max="9" width="1.5703125" style="640" customWidth="1"/>
    <col min="10" max="10" width="11.5703125" style="639" customWidth="1"/>
    <col min="11" max="11" width="1.42578125" style="641" customWidth="1"/>
    <col min="12" max="12" width="10.5703125" style="639" customWidth="1"/>
    <col min="13" max="13" width="0.28515625" style="389" customWidth="1"/>
    <col min="14" max="14" width="0.5703125" style="390" customWidth="1"/>
    <col min="15" max="15" width="6.42578125" style="390" hidden="1" customWidth="1"/>
    <col min="16" max="19" width="7.85546875" style="390" hidden="1" customWidth="1"/>
    <col min="20" max="20" width="11" style="390" hidden="1" customWidth="1"/>
    <col min="21" max="21" width="7.85546875" style="390" hidden="1" customWidth="1"/>
    <col min="22" max="22" width="5.140625" style="390" hidden="1" customWidth="1"/>
    <col min="23" max="23" width="8.42578125" style="390" hidden="1" customWidth="1"/>
    <col min="24" max="24" width="9.140625" style="390" hidden="1" customWidth="1"/>
    <col min="25" max="25" width="11.140625" style="390" hidden="1" customWidth="1"/>
    <col min="26" max="26" width="10.5703125" style="390" hidden="1" customWidth="1"/>
    <col min="27" max="33" width="9.140625" style="390" hidden="1" customWidth="1"/>
    <col min="34" max="16384" width="9.140625" style="380" hidden="1"/>
  </cols>
  <sheetData>
    <row r="1" spans="1:33" ht="4.5" customHeight="1" x14ac:dyDescent="0.25">
      <c r="A1" s="655" t="s">
        <v>1497</v>
      </c>
      <c r="B1" s="381"/>
      <c r="C1" s="1102"/>
      <c r="D1" s="382"/>
      <c r="E1" s="383"/>
      <c r="F1" s="384"/>
      <c r="G1" s="385"/>
      <c r="H1" s="386"/>
      <c r="I1" s="387"/>
      <c r="J1" s="386"/>
      <c r="K1" s="388"/>
      <c r="L1" s="386"/>
    </row>
    <row r="2" spans="1:33" x14ac:dyDescent="0.25">
      <c r="A2" s="381"/>
      <c r="B2" s="381" t="s">
        <v>1313</v>
      </c>
      <c r="C2" s="1102"/>
      <c r="D2" s="1103"/>
      <c r="E2" s="1104"/>
      <c r="F2" s="1105"/>
      <c r="G2" s="391"/>
      <c r="H2" s="392"/>
      <c r="I2" s="393"/>
      <c r="J2" s="392"/>
      <c r="K2" s="394"/>
      <c r="L2" s="395"/>
    </row>
    <row r="3" spans="1:33" ht="4.5" customHeight="1" x14ac:dyDescent="0.25">
      <c r="A3" s="381"/>
      <c r="B3" s="381"/>
      <c r="C3" s="1102"/>
      <c r="D3" s="396"/>
      <c r="E3" s="397"/>
      <c r="F3" s="396"/>
      <c r="G3" s="385"/>
      <c r="H3" s="398"/>
      <c r="I3" s="387"/>
      <c r="J3" s="398"/>
      <c r="K3" s="388"/>
      <c r="L3" s="399"/>
    </row>
    <row r="4" spans="1:33" x14ac:dyDescent="0.25">
      <c r="A4" s="381"/>
      <c r="B4" s="381" t="s">
        <v>1314</v>
      </c>
      <c r="C4" s="1102"/>
      <c r="D4" s="400"/>
      <c r="E4" s="401"/>
      <c r="F4" s="402"/>
      <c r="G4" s="385"/>
      <c r="H4" s="403"/>
      <c r="I4" s="404"/>
      <c r="J4" s="405" t="str">
        <f>IF(D4="Yes","Date","")</f>
        <v/>
      </c>
      <c r="K4" s="405"/>
      <c r="L4" s="406" t="str">
        <f ca="1">IF(D4="YES",TODAY(),"")</f>
        <v/>
      </c>
    </row>
    <row r="5" spans="1:33" ht="4.5" customHeight="1" x14ac:dyDescent="0.25">
      <c r="A5" s="381"/>
      <c r="B5" s="381"/>
      <c r="C5" s="1102"/>
      <c r="D5" s="396"/>
      <c r="E5" s="397"/>
      <c r="F5" s="396"/>
      <c r="G5" s="385"/>
      <c r="H5" s="398"/>
      <c r="I5" s="387"/>
      <c r="J5" s="398"/>
      <c r="K5" s="388"/>
      <c r="L5" s="395"/>
    </row>
    <row r="6" spans="1:33" x14ac:dyDescent="0.25">
      <c r="A6" s="381"/>
      <c r="B6" s="381" t="s">
        <v>1315</v>
      </c>
      <c r="C6" s="1102"/>
      <c r="D6" s="1103"/>
      <c r="E6" s="1104"/>
      <c r="F6" s="1105"/>
      <c r="G6" s="407"/>
      <c r="H6" s="398"/>
      <c r="I6" s="408"/>
      <c r="J6" s="398"/>
      <c r="K6" s="408"/>
      <c r="L6" s="409"/>
      <c r="M6" s="390"/>
    </row>
    <row r="7" spans="1:33" ht="4.5" customHeight="1" x14ac:dyDescent="0.25">
      <c r="A7" s="381"/>
      <c r="B7" s="381"/>
      <c r="C7" s="1102"/>
      <c r="D7" s="396"/>
      <c r="E7" s="397"/>
      <c r="F7" s="396"/>
      <c r="G7" s="385"/>
      <c r="H7" s="398"/>
      <c r="I7" s="387"/>
      <c r="J7" s="398"/>
      <c r="K7" s="388"/>
      <c r="L7" s="409"/>
    </row>
    <row r="8" spans="1:33" x14ac:dyDescent="0.25">
      <c r="A8" s="381"/>
      <c r="B8" s="381" t="s">
        <v>1316</v>
      </c>
      <c r="C8" s="1102"/>
      <c r="D8" s="1103"/>
      <c r="E8" s="1104"/>
      <c r="F8" s="1105"/>
      <c r="G8" s="385"/>
      <c r="H8" s="398"/>
      <c r="I8" s="387"/>
      <c r="J8" s="398"/>
      <c r="K8" s="388"/>
      <c r="L8" s="409"/>
    </row>
    <row r="9" spans="1:33" ht="4.5" customHeight="1" x14ac:dyDescent="0.25">
      <c r="A9" s="381"/>
      <c r="B9" s="381"/>
      <c r="C9" s="1102"/>
      <c r="D9" s="396"/>
      <c r="E9" s="397"/>
      <c r="F9" s="396"/>
      <c r="G9" s="385"/>
      <c r="H9" s="398"/>
      <c r="I9" s="387"/>
      <c r="J9" s="398"/>
      <c r="K9" s="388"/>
      <c r="L9" s="409"/>
    </row>
    <row r="10" spans="1:33" x14ac:dyDescent="0.25">
      <c r="A10" s="381"/>
      <c r="B10" s="381" t="s">
        <v>1317</v>
      </c>
      <c r="C10" s="1102"/>
      <c r="D10" s="1103"/>
      <c r="E10" s="1104"/>
      <c r="F10" s="1105"/>
      <c r="G10" s="385"/>
      <c r="H10" s="398"/>
      <c r="I10" s="387"/>
      <c r="J10" s="398"/>
      <c r="K10" s="388"/>
      <c r="L10" s="409"/>
    </row>
    <row r="11" spans="1:33" ht="4.5" customHeight="1" x14ac:dyDescent="0.25">
      <c r="A11" s="381"/>
      <c r="B11" s="381"/>
      <c r="C11" s="1102"/>
      <c r="D11" s="396"/>
      <c r="E11" s="397"/>
      <c r="F11" s="396"/>
      <c r="G11" s="385"/>
      <c r="H11" s="398"/>
      <c r="I11" s="387"/>
      <c r="J11" s="398"/>
      <c r="K11" s="388"/>
      <c r="L11" s="409"/>
    </row>
    <row r="12" spans="1:33" x14ac:dyDescent="0.25">
      <c r="A12" s="381"/>
      <c r="B12" s="381" t="s">
        <v>1318</v>
      </c>
      <c r="C12" s="1102"/>
      <c r="D12" s="1106"/>
      <c r="E12" s="1107"/>
      <c r="F12" s="1108"/>
      <c r="G12" s="410"/>
      <c r="H12" s="411"/>
      <c r="I12" s="412"/>
      <c r="J12" s="411"/>
      <c r="K12" s="413"/>
      <c r="L12" s="414"/>
      <c r="M12" s="390"/>
    </row>
    <row r="13" spans="1:33" ht="5.25" customHeight="1" x14ac:dyDescent="0.25">
      <c r="A13" s="381"/>
      <c r="B13" s="381"/>
      <c r="C13" s="1102"/>
      <c r="D13" s="384"/>
      <c r="E13" s="383"/>
      <c r="F13" s="384"/>
      <c r="G13" s="385"/>
      <c r="H13" s="386"/>
      <c r="I13" s="387"/>
      <c r="J13" s="386"/>
      <c r="K13" s="388"/>
      <c r="L13" s="386"/>
    </row>
    <row r="14" spans="1:33" x14ac:dyDescent="0.25">
      <c r="A14" s="381"/>
      <c r="B14" s="381" t="s">
        <v>1319</v>
      </c>
      <c r="C14" s="381"/>
      <c r="D14" s="1088"/>
      <c r="E14" s="1089"/>
      <c r="F14" s="1089"/>
      <c r="G14" s="1089"/>
      <c r="H14" s="1089"/>
      <c r="I14" s="1089"/>
      <c r="J14" s="1089"/>
      <c r="K14" s="1089"/>
      <c r="L14" s="1090"/>
    </row>
    <row r="15" spans="1:33" ht="3" customHeight="1" x14ac:dyDescent="0.25">
      <c r="A15" s="381"/>
      <c r="B15" s="381"/>
      <c r="C15" s="381"/>
      <c r="D15" s="415"/>
      <c r="E15" s="416"/>
      <c r="F15" s="416"/>
      <c r="G15" s="416"/>
      <c r="H15" s="416"/>
      <c r="I15" s="416"/>
      <c r="J15" s="416"/>
      <c r="K15" s="416"/>
      <c r="L15" s="416"/>
    </row>
    <row r="16" spans="1:33" s="417" customFormat="1" ht="8.25" customHeight="1" thickBot="1" x14ac:dyDescent="0.3">
      <c r="D16" s="418"/>
      <c r="E16" s="419"/>
      <c r="F16" s="418"/>
      <c r="G16" s="420"/>
      <c r="H16" s="421"/>
      <c r="I16" s="422"/>
      <c r="J16" s="421"/>
      <c r="K16" s="423"/>
      <c r="L16" s="421"/>
      <c r="M16" s="389"/>
      <c r="N16" s="424"/>
      <c r="O16" s="390"/>
      <c r="P16" s="390"/>
      <c r="Q16" s="390"/>
      <c r="R16" s="390"/>
      <c r="S16" s="390"/>
      <c r="T16" s="390"/>
      <c r="U16" s="390"/>
      <c r="V16" s="390"/>
      <c r="W16" s="390"/>
      <c r="X16" s="390"/>
      <c r="Y16" s="425"/>
      <c r="Z16" s="390"/>
      <c r="AA16" s="390"/>
      <c r="AB16" s="390"/>
      <c r="AC16" s="390"/>
      <c r="AD16" s="390"/>
      <c r="AE16" s="390"/>
      <c r="AF16" s="390"/>
      <c r="AG16" s="390"/>
    </row>
    <row r="17" spans="1:33" ht="8.25" customHeight="1" x14ac:dyDescent="0.25">
      <c r="A17" s="426"/>
      <c r="B17" s="1091"/>
      <c r="C17" s="1091"/>
      <c r="D17" s="1091"/>
      <c r="E17" s="1091"/>
      <c r="F17" s="1091"/>
      <c r="G17" s="1091"/>
      <c r="H17" s="1091"/>
      <c r="I17" s="1091"/>
      <c r="J17" s="1091"/>
      <c r="K17" s="1091"/>
      <c r="L17" s="1091"/>
      <c r="M17" s="1091"/>
      <c r="N17" s="1092"/>
      <c r="Y17" s="382"/>
    </row>
    <row r="18" spans="1:33" ht="17.25" customHeight="1" x14ac:dyDescent="0.25">
      <c r="A18" s="427"/>
      <c r="B18" s="428" t="s">
        <v>1320</v>
      </c>
      <c r="C18" s="429"/>
      <c r="D18" s="430" t="s">
        <v>1321</v>
      </c>
      <c r="E18" s="431"/>
      <c r="F18" s="1093" t="s">
        <v>1322</v>
      </c>
      <c r="G18" s="1094"/>
      <c r="H18" s="1094"/>
      <c r="I18" s="1094"/>
      <c r="J18" s="1094"/>
      <c r="K18" s="1094"/>
      <c r="L18" s="1095"/>
      <c r="M18" s="432"/>
      <c r="N18" s="433"/>
    </row>
    <row r="19" spans="1:33" ht="21" x14ac:dyDescent="0.25">
      <c r="A19" s="427"/>
      <c r="B19" s="434" t="s">
        <v>1323</v>
      </c>
      <c r="C19" s="435"/>
      <c r="D19" s="436" t="s">
        <v>1324</v>
      </c>
      <c r="E19" s="431"/>
      <c r="F19" s="437" t="s">
        <v>1325</v>
      </c>
      <c r="G19" s="438"/>
      <c r="H19" s="439" t="s">
        <v>1326</v>
      </c>
      <c r="I19" s="440"/>
      <c r="J19" s="439" t="s">
        <v>1327</v>
      </c>
      <c r="K19" s="440"/>
      <c r="L19" s="441" t="s">
        <v>1328</v>
      </c>
      <c r="M19" s="442"/>
      <c r="N19" s="433"/>
    </row>
    <row r="20" spans="1:33" ht="6.75" customHeight="1" x14ac:dyDescent="0.25">
      <c r="A20" s="427"/>
      <c r="B20" s="443"/>
      <c r="C20" s="443"/>
      <c r="D20" s="444"/>
      <c r="E20" s="445"/>
      <c r="F20" s="444"/>
      <c r="G20" s="446"/>
      <c r="H20" s="447"/>
      <c r="I20" s="445"/>
      <c r="J20" s="447"/>
      <c r="K20" s="445"/>
      <c r="L20" s="447"/>
      <c r="M20" s="442"/>
      <c r="N20" s="448"/>
    </row>
    <row r="21" spans="1:33" s="462" customFormat="1" ht="18.75" x14ac:dyDescent="0.3">
      <c r="A21" s="449"/>
      <c r="B21" s="450" t="s">
        <v>1329</v>
      </c>
      <c r="C21" s="451"/>
      <c r="D21" s="452"/>
      <c r="E21" s="453" t="str">
        <f>IF(D21="&lt;16","BALFZ",IF(D21="16&lt;21","BAL40",IF(D21="21&lt;31","BAL29",IF(D21="31&lt;42","BAL19",IF(D21="42&lt;100","BAL12.5","")))))</f>
        <v/>
      </c>
      <c r="F21" s="454"/>
      <c r="G21" s="455" t="str">
        <f>IF(F21="&lt;20","BALFZ",IF(F21="20&lt;27","BAL40",IF(F21="27&lt;37","BAL29",IF(F21="37&lt;50","BAL19",IF(F21="50&lt;100","BAL12.5","")))))</f>
        <v/>
      </c>
      <c r="H21" s="456"/>
      <c r="I21" s="457" t="str">
        <f>IF(H21="&lt;26","BALFZ",IF(H21="26&lt;33","BAL40",IF(H21="33&lt;46","BAL29",IF(H21="46&lt;61","BAL19",IF(H21="61&lt;100","BAL12.5","")))))</f>
        <v/>
      </c>
      <c r="J21" s="456"/>
      <c r="K21" s="457" t="str">
        <f>IF(J21="&lt;33","BALFZ",IF(J21="33&lt;42","BAL40",IF(J21="42&lt;56","BAL29",IF(J21="56&lt;73","BAL19",IF(J21="73&lt;100","BAL12.5","")))))</f>
        <v/>
      </c>
      <c r="L21" s="456"/>
      <c r="M21" s="458" t="str">
        <f>IF(L21="&lt;42","BALFZ",IF(L21="42&lt;52","BAL40",IF(L21="52&lt;68","BAL29",IF(L21="68&lt;87","BAL19",IF(L21="87&lt;100","BAL12.5","")))))</f>
        <v/>
      </c>
      <c r="N21" s="459"/>
      <c r="O21" s="425" t="str">
        <f>IF(D21=0,"","Forests")</f>
        <v/>
      </c>
      <c r="P21" s="425" t="str">
        <f>IF(F21=0,"","Forests")</f>
        <v/>
      </c>
      <c r="Q21" s="425" t="str">
        <f>IF(H21=0,"","Forests")</f>
        <v/>
      </c>
      <c r="R21" s="425" t="str">
        <f>IF(J21=0,"","Forests")</f>
        <v/>
      </c>
      <c r="S21" s="425" t="str">
        <f>IF(L21=0,"","Forests")</f>
        <v/>
      </c>
      <c r="T21" s="390" t="s">
        <v>1330</v>
      </c>
      <c r="U21" s="460" t="str">
        <f>IFERROR(VLOOKUP(T21,$O$21:$S$53,1,FALSE),"")</f>
        <v>Forests</v>
      </c>
      <c r="V21" s="461"/>
      <c r="W21" s="461"/>
      <c r="X21" s="461"/>
      <c r="Y21" s="461"/>
      <c r="Z21" s="461"/>
      <c r="AA21" s="461"/>
      <c r="AB21" s="461"/>
      <c r="AC21" s="461"/>
      <c r="AD21" s="461"/>
      <c r="AE21" s="461"/>
      <c r="AF21" s="461"/>
      <c r="AG21" s="461"/>
    </row>
    <row r="22" spans="1:33" s="461" customFormat="1" ht="18.75" hidden="1" x14ac:dyDescent="0.3">
      <c r="A22" s="449"/>
      <c r="B22" s="463" t="s">
        <v>1331</v>
      </c>
      <c r="C22" s="464"/>
      <c r="D22" s="465" t="str">
        <f>E21</f>
        <v/>
      </c>
      <c r="E22" s="466"/>
      <c r="F22" s="465" t="str">
        <f>G21</f>
        <v/>
      </c>
      <c r="G22" s="467"/>
      <c r="H22" s="468" t="str">
        <f>I21</f>
        <v/>
      </c>
      <c r="I22" s="469"/>
      <c r="J22" s="468" t="str">
        <f>K21</f>
        <v/>
      </c>
      <c r="K22" s="469"/>
      <c r="L22" s="468" t="str">
        <f>M21</f>
        <v/>
      </c>
      <c r="M22" s="458"/>
      <c r="N22" s="459"/>
      <c r="O22" s="425" t="str">
        <f>IF(D22=0,"","Forests")</f>
        <v>Forests</v>
      </c>
      <c r="P22" s="425" t="str">
        <f>IF(F22=0,"","Forests")</f>
        <v>Forests</v>
      </c>
      <c r="Q22" s="425" t="str">
        <f>IF(H22=0,"","Forests")</f>
        <v>Forests</v>
      </c>
      <c r="R22" s="425" t="str">
        <f>IF(J22=0,"","Forests")</f>
        <v>Forests</v>
      </c>
      <c r="S22" s="425" t="str">
        <f>IF(L22=0,"","Forests")</f>
        <v>Forests</v>
      </c>
      <c r="U22" s="460" t="str">
        <f t="shared" ref="U22:U53" si="0">IFERROR(VLOOKUP(T22,$O$21:$S$53,1,FALSE),"")</f>
        <v/>
      </c>
    </row>
    <row r="23" spans="1:33" s="461" customFormat="1" hidden="1" x14ac:dyDescent="0.25">
      <c r="A23" s="449"/>
      <c r="B23" s="470" t="s">
        <v>1332</v>
      </c>
      <c r="C23" s="471"/>
      <c r="D23" s="472" t="str">
        <f>IF(LEFT(E21,3)="BAL",20,"")</f>
        <v/>
      </c>
      <c r="E23" s="469"/>
      <c r="F23" s="473" t="str">
        <f>IF(LEFT(G21,3)="BAL",20,"")</f>
        <v/>
      </c>
      <c r="G23" s="467"/>
      <c r="H23" s="474" t="str">
        <f>IF(LEFT(I21,3)="BAL",30,"")</f>
        <v/>
      </c>
      <c r="I23" s="469"/>
      <c r="J23" s="474" t="str">
        <f>IF(LEFT(K21,3)="BAL",40,"")</f>
        <v/>
      </c>
      <c r="K23" s="469"/>
      <c r="L23" s="474" t="str">
        <f>IF(LEFT(M21,3)="BAL",45,"")</f>
        <v/>
      </c>
      <c r="M23" s="458"/>
      <c r="N23" s="459"/>
      <c r="O23" s="425" t="str">
        <f>IF(D23=0,"","Forests")</f>
        <v>Forests</v>
      </c>
      <c r="P23" s="425" t="str">
        <f>IF(F23=0,"","Forests")</f>
        <v>Forests</v>
      </c>
      <c r="Q23" s="425" t="str">
        <f>IF(H23=0,"","Forests")</f>
        <v>Forests</v>
      </c>
      <c r="R23" s="425" t="str">
        <f>IF(J23=0,"","Forests")</f>
        <v>Forests</v>
      </c>
      <c r="S23" s="425" t="str">
        <f>IF(L23=0,"","Forests")</f>
        <v>Forests</v>
      </c>
      <c r="U23" s="460" t="str">
        <f t="shared" si="0"/>
        <v/>
      </c>
    </row>
    <row r="24" spans="1:33" s="461" customFormat="1" hidden="1" x14ac:dyDescent="0.25">
      <c r="A24" s="449"/>
      <c r="B24" s="470" t="s">
        <v>1333</v>
      </c>
      <c r="C24" s="471"/>
      <c r="D24" s="473" t="str">
        <f>IF(LEFT(E21,3)="BAL",10,"")</f>
        <v/>
      </c>
      <c r="E24" s="469"/>
      <c r="F24" s="473" t="str">
        <f>IF(LEFT(G21,3)="BAL",15,"")</f>
        <v/>
      </c>
      <c r="G24" s="467"/>
      <c r="H24" s="474" t="str">
        <f>IF(LEFT(I21,3)="BAL",15,"")</f>
        <v/>
      </c>
      <c r="I24" s="469"/>
      <c r="J24" s="474" t="str">
        <f>IF(LEFT(K21,3)="BAL",20,"")</f>
        <v/>
      </c>
      <c r="K24" s="469"/>
      <c r="L24" s="474" t="str">
        <f>IF(LEFT(M21,3)="BAL",25,"")</f>
        <v/>
      </c>
      <c r="M24" s="458"/>
      <c r="N24" s="459"/>
      <c r="O24" s="425" t="str">
        <f>IF(D24=0,"","Forests")</f>
        <v>Forests</v>
      </c>
      <c r="P24" s="425" t="str">
        <f>IF(F24=0,"","Forests")</f>
        <v>Forests</v>
      </c>
      <c r="Q24" s="425" t="str">
        <f>IF(H24=0,"","Forests")</f>
        <v>Forests</v>
      </c>
      <c r="R24" s="425" t="str">
        <f>IF(J24=0,"","Forests")</f>
        <v>Forests</v>
      </c>
      <c r="S24" s="425" t="str">
        <f>IF(L24=0,"","Forests")</f>
        <v>Forests</v>
      </c>
      <c r="U24" s="460" t="str">
        <f t="shared" si="0"/>
        <v/>
      </c>
    </row>
    <row r="25" spans="1:33" s="461" customFormat="1" hidden="1" x14ac:dyDescent="0.25">
      <c r="A25" s="449"/>
      <c r="B25" s="470" t="s">
        <v>1334</v>
      </c>
      <c r="C25" s="471"/>
      <c r="D25" s="473" t="str">
        <f>IF(LEFT(E21,3)="BAL",10,"")</f>
        <v/>
      </c>
      <c r="E25" s="469"/>
      <c r="F25" s="473" t="str">
        <f>IF(LEFT(G21,3)="BAL",5,"")</f>
        <v/>
      </c>
      <c r="G25" s="467"/>
      <c r="H25" s="474" t="str">
        <f>IF(LEFT(I21,3)="BAL",15,"")</f>
        <v/>
      </c>
      <c r="I25" s="469"/>
      <c r="J25" s="474" t="str">
        <f>IF(LEFT(K21,3)="BAL",20,"")</f>
        <v/>
      </c>
      <c r="K25" s="469"/>
      <c r="L25" s="474" t="str">
        <f>IF(LEFT(M21,3)="BAL",20,"")</f>
        <v/>
      </c>
      <c r="M25" s="458"/>
      <c r="N25" s="459"/>
      <c r="O25" s="425" t="str">
        <f>IF(D25=0,"","Forests")</f>
        <v>Forests</v>
      </c>
      <c r="P25" s="425" t="str">
        <f>IF(F25=0,"","Forests")</f>
        <v>Forests</v>
      </c>
      <c r="Q25" s="425" t="str">
        <f>IF(H25=0,"","Forests")</f>
        <v>Forests</v>
      </c>
      <c r="R25" s="425" t="str">
        <f>IF(J25=0,"","Forests")</f>
        <v>Forests</v>
      </c>
      <c r="S25" s="425" t="str">
        <f>IF(L25=0,"","Forests")</f>
        <v>Forests</v>
      </c>
      <c r="U25" s="460" t="str">
        <f t="shared" si="0"/>
        <v/>
      </c>
    </row>
    <row r="26" spans="1:33" hidden="1" x14ac:dyDescent="0.25">
      <c r="A26" s="427"/>
      <c r="B26" s="443"/>
      <c r="C26" s="443"/>
      <c r="D26" s="444"/>
      <c r="E26" s="445"/>
      <c r="F26" s="444"/>
      <c r="G26" s="446"/>
      <c r="H26" s="447"/>
      <c r="I26" s="445"/>
      <c r="J26" s="447"/>
      <c r="K26" s="445"/>
      <c r="L26" s="447"/>
      <c r="M26" s="442"/>
      <c r="N26" s="433"/>
      <c r="O26" s="425"/>
      <c r="P26" s="425"/>
      <c r="Q26" s="425"/>
      <c r="R26" s="425"/>
      <c r="S26" s="425"/>
      <c r="T26" s="390" t="s">
        <v>1335</v>
      </c>
      <c r="U26" s="460" t="str">
        <f t="shared" si="0"/>
        <v/>
      </c>
    </row>
    <row r="27" spans="1:33" s="390" customFormat="1" hidden="1" x14ac:dyDescent="0.25">
      <c r="A27" s="427"/>
      <c r="B27" s="470" t="s">
        <v>1336</v>
      </c>
      <c r="C27" s="475"/>
      <c r="D27" s="476" t="str">
        <f>IF(LEFT(E21,3)="BAL",15,"")</f>
        <v/>
      </c>
      <c r="E27" s="477"/>
      <c r="F27" s="478" t="str">
        <f>IF(LEFT(G21,3)="BAL",20,"")</f>
        <v/>
      </c>
      <c r="G27" s="467"/>
      <c r="H27" s="479" t="str">
        <f>IF(LEFT(I21,3)="BAL",25,"")</f>
        <v/>
      </c>
      <c r="I27" s="477"/>
      <c r="J27" s="479" t="str">
        <f>IF(LEFT(K21,3)="BAL",35,"")</f>
        <v/>
      </c>
      <c r="K27" s="477"/>
      <c r="L27" s="479" t="str">
        <f>IF(LEFT(M21,3)="BAL",40,"")</f>
        <v/>
      </c>
      <c r="M27" s="442"/>
      <c r="N27" s="433"/>
      <c r="O27" s="425" t="str">
        <f>IF(D27=0,"","Forests")</f>
        <v>Forests</v>
      </c>
      <c r="P27" s="425" t="str">
        <f>IF(F27=0,"","Forests")</f>
        <v>Forests</v>
      </c>
      <c r="Q27" s="425" t="str">
        <f>IF(H27=0,"","Forests")</f>
        <v>Forests</v>
      </c>
      <c r="R27" s="425" t="str">
        <f>IF(J27=0,"","Forests")</f>
        <v>Forests</v>
      </c>
      <c r="S27" s="425" t="str">
        <f>IF(L27=0,"","Forests")</f>
        <v>Forests</v>
      </c>
      <c r="U27" s="460" t="str">
        <f t="shared" si="0"/>
        <v/>
      </c>
    </row>
    <row r="28" spans="1:33" s="390" customFormat="1" hidden="1" x14ac:dyDescent="0.25">
      <c r="A28" s="427"/>
      <c r="B28" s="470" t="s">
        <v>1337</v>
      </c>
      <c r="C28" s="475"/>
      <c r="D28" s="480" t="str">
        <f>IF(LEFT(E21,3)="BAL",15,"")</f>
        <v/>
      </c>
      <c r="E28" s="477"/>
      <c r="F28" s="478" t="str">
        <f>IF(LEFT(G21,3)="BAL",20,"")</f>
        <v/>
      </c>
      <c r="G28" s="467"/>
      <c r="H28" s="479" t="str">
        <f>IF(LEFT(I21,3)="BAL",25,"")</f>
        <v/>
      </c>
      <c r="I28" s="477"/>
      <c r="J28" s="479" t="str">
        <f>IF(LEFT(K21,3)="BAL",35,"")</f>
        <v/>
      </c>
      <c r="K28" s="477"/>
      <c r="L28" s="479" t="str">
        <f>IF(LEFT(M21,3)="BAL",40,"")</f>
        <v/>
      </c>
      <c r="M28" s="442"/>
      <c r="N28" s="433"/>
      <c r="O28" s="425" t="str">
        <f>IF(D28=0,"","Forests")</f>
        <v>Forests</v>
      </c>
      <c r="P28" s="425" t="str">
        <f>IF(F28=0,"","Forests")</f>
        <v>Forests</v>
      </c>
      <c r="Q28" s="425" t="str">
        <f>IF(H28=0,"","Forests")</f>
        <v>Forests</v>
      </c>
      <c r="R28" s="425" t="str">
        <f>IF(J28=0,"","Forests")</f>
        <v>Forests</v>
      </c>
      <c r="S28" s="425" t="str">
        <f>IF(L28=0,"","Forests")</f>
        <v>Forests</v>
      </c>
      <c r="U28" s="460" t="str">
        <f t="shared" si="0"/>
        <v/>
      </c>
    </row>
    <row r="29" spans="1:33" s="390" customFormat="1" hidden="1" x14ac:dyDescent="0.25">
      <c r="A29" s="427"/>
      <c r="B29" s="470" t="s">
        <v>1338</v>
      </c>
      <c r="C29" s="475"/>
      <c r="D29" s="478" t="str">
        <f>IF(LEFT(E21,3)="BAL",0,"")</f>
        <v/>
      </c>
      <c r="E29" s="477"/>
      <c r="F29" s="478" t="str">
        <f>IF(LEFT(G21,3)="BAL",0,"")</f>
        <v/>
      </c>
      <c r="G29" s="467"/>
      <c r="H29" s="479" t="str">
        <f>IF(LEFT(I21,3)="BAL",0,"")</f>
        <v/>
      </c>
      <c r="I29" s="477"/>
      <c r="J29" s="479" t="str">
        <f>IF(LEFT(K21,3)="BAL",0,"")</f>
        <v/>
      </c>
      <c r="K29" s="477"/>
      <c r="L29" s="479" t="str">
        <f>IF(LEFT(M21,3)="BAL",0,"")</f>
        <v/>
      </c>
      <c r="M29" s="442"/>
      <c r="N29" s="433"/>
      <c r="O29" s="425" t="str">
        <f>IF(D29=0,"","Forests")</f>
        <v>Forests</v>
      </c>
      <c r="P29" s="425" t="str">
        <f>IF(F29=0,"","Forests")</f>
        <v>Forests</v>
      </c>
      <c r="Q29" s="425" t="str">
        <f>IF(H29=0,"","Forests")</f>
        <v>Forests</v>
      </c>
      <c r="R29" s="425" t="str">
        <f>IF(J29=0,"","Forests")</f>
        <v>Forests</v>
      </c>
      <c r="S29" s="425" t="str">
        <f>IF(L29=0,"","Forests")</f>
        <v>Forests</v>
      </c>
      <c r="U29" s="460" t="str">
        <f t="shared" si="0"/>
        <v/>
      </c>
    </row>
    <row r="30" spans="1:33" ht="5.25" customHeight="1" x14ac:dyDescent="0.25">
      <c r="A30" s="427"/>
      <c r="B30" s="443"/>
      <c r="C30" s="443"/>
      <c r="D30" s="444"/>
      <c r="E30" s="445"/>
      <c r="F30" s="444"/>
      <c r="G30" s="446"/>
      <c r="H30" s="447"/>
      <c r="I30" s="445"/>
      <c r="J30" s="447"/>
      <c r="K30" s="445"/>
      <c r="L30" s="447"/>
      <c r="M30" s="442"/>
      <c r="N30" s="448"/>
      <c r="O30" s="425" t="str">
        <f>IF(D30=0,"","Forests")</f>
        <v/>
      </c>
      <c r="P30" s="425" t="str">
        <f>IF(F30=0,"","Forests")</f>
        <v/>
      </c>
      <c r="Q30" s="425" t="str">
        <f>IF(H30=0,"","Forests")</f>
        <v/>
      </c>
      <c r="R30" s="425" t="str">
        <f>IF(J30=0,"","Forests")</f>
        <v/>
      </c>
      <c r="S30" s="425" t="str">
        <f>IF(L30=0,"","Forests")</f>
        <v/>
      </c>
      <c r="T30" s="390" t="s">
        <v>1335</v>
      </c>
      <c r="U30" s="460" t="str">
        <f>IFERROR(VLOOKUP(T30,$O$21:$S$53,2,FALSE),"")</f>
        <v/>
      </c>
    </row>
    <row r="31" spans="1:33" ht="18.75" x14ac:dyDescent="0.3">
      <c r="A31" s="427"/>
      <c r="B31" s="450" t="s">
        <v>1339</v>
      </c>
      <c r="C31" s="435"/>
      <c r="D31" s="452"/>
      <c r="E31" s="431" t="str">
        <f>IF(D31="&lt;10","BALFZ",IF(D31="10&lt;14","BAL40",IF(D31="14&lt;20","BAL29",IF(D31="20&lt;29","BAL19",IF(D31="29&lt;100","BAL12.5","")))))</f>
        <v/>
      </c>
      <c r="F31" s="452"/>
      <c r="G31" s="455" t="str">
        <f>IF(F31="&lt;13","BALFZ",IF(F31="13&lt;17","BAL40",IF(F31="17&lt;25","BAL29",IF(F31="25&lt;35","BAL19",IF(F31="35&lt;100","BAL12.5","")))))</f>
        <v/>
      </c>
      <c r="H31" s="456"/>
      <c r="I31" s="431" t="str">
        <f>IF(H31="&lt;16","BALFZ",IF(H31="16&lt;22","BAL40",IF(H31="22&lt;31","BAL29",IF(H31="31&lt;43","BAL19",IF(H31="43&lt;100","BAL12.5","")))))</f>
        <v/>
      </c>
      <c r="J31" s="456"/>
      <c r="K31" s="431" t="str">
        <f>IF(J31="&lt;21","BALFZ",IF(J31="21&lt;28","BAL40",IF(J31="28&lt;39","BAL29",IF(J31="39&lt;53","BAL19",IF(J31="53&lt;100","BAL12.5","")))))</f>
        <v/>
      </c>
      <c r="L31" s="456"/>
      <c r="M31" s="442" t="str">
        <f>IF(L31="&lt;27","BALFZ",IF(L31="27&lt;35","BAL40",IF(L31="35&lt;48","BAL29",IF(L31="48&lt;64","BAL19",IF(L31="64&lt;100","BAL12.5","")))))</f>
        <v/>
      </c>
      <c r="N31" s="433"/>
      <c r="O31" s="425" t="str">
        <f>IF(D31=0,"","Woodlands")</f>
        <v/>
      </c>
      <c r="P31" s="425" t="str">
        <f>IF(F31=0,"","Woodlands")</f>
        <v/>
      </c>
      <c r="Q31" s="425" t="str">
        <f>IF(H31=0,"","Woodlands")</f>
        <v/>
      </c>
      <c r="R31" s="425" t="str">
        <f>IF(J31=0,"","Woodlands")</f>
        <v/>
      </c>
      <c r="S31" s="425" t="str">
        <f>IF(L31=0,"","Woodlands")</f>
        <v/>
      </c>
      <c r="T31" s="390" t="s">
        <v>1340</v>
      </c>
      <c r="U31" s="460" t="str">
        <f t="shared" si="0"/>
        <v/>
      </c>
    </row>
    <row r="32" spans="1:33" s="461" customFormat="1" ht="18.75" hidden="1" x14ac:dyDescent="0.3">
      <c r="A32" s="449"/>
      <c r="B32" s="463" t="s">
        <v>1331</v>
      </c>
      <c r="C32" s="464"/>
      <c r="D32" s="465" t="str">
        <f>E31</f>
        <v/>
      </c>
      <c r="E32" s="469"/>
      <c r="F32" s="465" t="str">
        <f>G31</f>
        <v/>
      </c>
      <c r="G32" s="467"/>
      <c r="H32" s="468" t="str">
        <f>I31</f>
        <v/>
      </c>
      <c r="I32" s="469"/>
      <c r="J32" s="468" t="str">
        <f>K31</f>
        <v/>
      </c>
      <c r="K32" s="469"/>
      <c r="L32" s="468" t="str">
        <f>M31</f>
        <v/>
      </c>
      <c r="M32" s="458"/>
      <c r="N32" s="459"/>
      <c r="O32" s="425" t="str">
        <f>IF(D32=0,"","Forests")</f>
        <v>Forests</v>
      </c>
      <c r="P32" s="425" t="str">
        <f>IF(F32=0,"","Forests")</f>
        <v>Forests</v>
      </c>
      <c r="Q32" s="425" t="str">
        <f>IF(H32=0,"","Forests")</f>
        <v>Forests</v>
      </c>
      <c r="R32" s="425" t="str">
        <f>IF(J32=0,"","Forests")</f>
        <v>Forests</v>
      </c>
      <c r="S32" s="425" t="str">
        <f>IF(L32=0,"","Forests")</f>
        <v>Forests</v>
      </c>
      <c r="U32" s="460" t="str">
        <f t="shared" si="0"/>
        <v/>
      </c>
    </row>
    <row r="33" spans="1:21" s="461" customFormat="1" hidden="1" x14ac:dyDescent="0.25">
      <c r="A33" s="449"/>
      <c r="B33" s="470" t="s">
        <v>1341</v>
      </c>
      <c r="C33" s="471"/>
      <c r="D33" s="472" t="str">
        <f>IF(LEFT(E31,3)="BAL",10,"")</f>
        <v/>
      </c>
      <c r="E33" s="469"/>
      <c r="F33" s="473" t="str">
        <f>IF(LEFT(G31,3)="BAL",15,"")</f>
        <v/>
      </c>
      <c r="G33" s="467"/>
      <c r="H33" s="474" t="str">
        <f>IF(LEFT(I31,3)="BAL",15,"")</f>
        <v/>
      </c>
      <c r="I33" s="469"/>
      <c r="J33" s="474" t="str">
        <f>IF(LEFT(K31,3)="BAL",20,"")</f>
        <v/>
      </c>
      <c r="K33" s="469"/>
      <c r="L33" s="474" t="str">
        <f>IF(LEFT(M31,3)="BAL",25,"")</f>
        <v/>
      </c>
      <c r="M33" s="458"/>
      <c r="N33" s="459"/>
      <c r="O33" s="425" t="str">
        <f>IF(D33=0,"","Forests")</f>
        <v>Forests</v>
      </c>
      <c r="P33" s="425" t="str">
        <f>IF(F33=0,"","Forests")</f>
        <v>Forests</v>
      </c>
      <c r="Q33" s="425" t="str">
        <f>IF(H33=0,"","Forests")</f>
        <v>Forests</v>
      </c>
      <c r="R33" s="425" t="str">
        <f>IF(J33=0,"","Forests")</f>
        <v>Forests</v>
      </c>
      <c r="S33" s="425" t="str">
        <f>IF(L33=0,"","Forests")</f>
        <v>Forests</v>
      </c>
      <c r="U33" s="460" t="str">
        <f t="shared" si="0"/>
        <v/>
      </c>
    </row>
    <row r="34" spans="1:21" s="461" customFormat="1" hidden="1" x14ac:dyDescent="0.25">
      <c r="A34" s="449"/>
      <c r="B34" s="470" t="s">
        <v>1342</v>
      </c>
      <c r="C34" s="471"/>
      <c r="D34" s="473" t="str">
        <f>IF(LEFT(E31,3)="BAL",10,"")</f>
        <v/>
      </c>
      <c r="E34" s="469"/>
      <c r="F34" s="473" t="str">
        <f>IF(LEFT(G31,3)="BAL",15,"")</f>
        <v/>
      </c>
      <c r="G34" s="467"/>
      <c r="H34" s="474" t="str">
        <f>IF(LEFT(I31,3)="BAL",15,"")</f>
        <v/>
      </c>
      <c r="I34" s="469"/>
      <c r="J34" s="474" t="str">
        <f>IF(LEFT(K31,3)="BAL",20,"")</f>
        <v/>
      </c>
      <c r="K34" s="469"/>
      <c r="L34" s="474" t="str">
        <f>IF(LEFT(M31,3)="BAL",25,"")</f>
        <v/>
      </c>
      <c r="M34" s="458"/>
      <c r="N34" s="459"/>
      <c r="O34" s="425" t="str">
        <f>IF(D34=0,"","Forests")</f>
        <v>Forests</v>
      </c>
      <c r="P34" s="425" t="str">
        <f>IF(F34=0,"","Forests")</f>
        <v>Forests</v>
      </c>
      <c r="Q34" s="425" t="str">
        <f>IF(H34=0,"","Forests")</f>
        <v>Forests</v>
      </c>
      <c r="R34" s="425" t="str">
        <f>IF(J34=0,"","Forests")</f>
        <v>Forests</v>
      </c>
      <c r="S34" s="425" t="str">
        <f>IF(L34=0,"","Forests")</f>
        <v>Forests</v>
      </c>
      <c r="U34" s="460" t="str">
        <f t="shared" si="0"/>
        <v/>
      </c>
    </row>
    <row r="35" spans="1:21" s="461" customFormat="1" hidden="1" x14ac:dyDescent="0.25">
      <c r="A35" s="449"/>
      <c r="B35" s="470" t="s">
        <v>1343</v>
      </c>
      <c r="C35" s="471"/>
      <c r="D35" s="473" t="str">
        <f>IF(LEFT(E31,3)="BAL",0,"")</f>
        <v/>
      </c>
      <c r="E35" s="469"/>
      <c r="F35" s="473" t="str">
        <f>IF(LEFT(G31,3)="BAL",0,"")</f>
        <v/>
      </c>
      <c r="G35" s="467"/>
      <c r="H35" s="474" t="str">
        <f>IF(LEFT(I31,3)="BAL",0,"")</f>
        <v/>
      </c>
      <c r="I35" s="469"/>
      <c r="J35" s="474" t="str">
        <f>IF(LEFT(K31,3)="BAL",0,"")</f>
        <v/>
      </c>
      <c r="K35" s="469"/>
      <c r="L35" s="474" t="str">
        <f>IF(LEFT(M31,3)="BAL",0,"")</f>
        <v/>
      </c>
      <c r="M35" s="458"/>
      <c r="N35" s="459"/>
      <c r="O35" s="425" t="str">
        <f>IF(D35=0,"","Forests")</f>
        <v>Forests</v>
      </c>
      <c r="P35" s="425" t="str">
        <f>IF(F35=0,"","Forests")</f>
        <v>Forests</v>
      </c>
      <c r="Q35" s="425" t="str">
        <f>IF(H35=0,"","Forests")</f>
        <v>Forests</v>
      </c>
      <c r="R35" s="425" t="str">
        <f>IF(J35=0,"","Forests")</f>
        <v>Forests</v>
      </c>
      <c r="S35" s="425" t="str">
        <f>IF(L35=0,"","Forests")</f>
        <v>Forests</v>
      </c>
      <c r="U35" s="460" t="str">
        <f t="shared" si="0"/>
        <v/>
      </c>
    </row>
    <row r="36" spans="1:21" ht="6" customHeight="1" x14ac:dyDescent="0.25">
      <c r="A36" s="427"/>
      <c r="B36" s="443"/>
      <c r="C36" s="443"/>
      <c r="D36" s="444"/>
      <c r="E36" s="445"/>
      <c r="F36" s="444"/>
      <c r="G36" s="446"/>
      <c r="H36" s="447"/>
      <c r="I36" s="445"/>
      <c r="J36" s="447"/>
      <c r="K36" s="445"/>
      <c r="L36" s="447"/>
      <c r="M36" s="442"/>
      <c r="N36" s="448"/>
      <c r="O36" s="425"/>
      <c r="P36" s="425"/>
      <c r="Q36" s="425"/>
      <c r="R36" s="425"/>
      <c r="S36" s="425"/>
      <c r="T36" s="390" t="s">
        <v>1344</v>
      </c>
      <c r="U36" s="460" t="str">
        <f t="shared" si="0"/>
        <v/>
      </c>
    </row>
    <row r="37" spans="1:21" ht="18.75" x14ac:dyDescent="0.3">
      <c r="A37" s="427"/>
      <c r="B37" s="450" t="s">
        <v>1345</v>
      </c>
      <c r="C37" s="435"/>
      <c r="D37" s="452"/>
      <c r="E37" s="431" t="str">
        <f>IF(D37="&lt;7","BALFZ",IF(D37="7&lt;9","BAL40",IF(D37="9&lt;13","BAL29",IF(D37="13&lt;19","BAL19",IF(D37="19&lt;100","BAL12.5","")))))</f>
        <v/>
      </c>
      <c r="F37" s="452"/>
      <c r="G37" s="455" t="str">
        <f>IF(F37="&lt;7","BALFZ",IF(F37="7&lt;10","BAL40",IF(F37="10&lt;15","BAL29",IF(F37="15&lt;22","BAL19",IF(F37="22&lt;100","BAL12.5","")))))</f>
        <v/>
      </c>
      <c r="H37" s="456"/>
      <c r="I37" s="431" t="str">
        <f>IF(H37="&lt;8","BALFZ",IF(H37="8&lt;11","BAL40",IF(H37="11&lt;17","BAL29",IF(H37="17&lt;25","BAL19",IF(H37="25&lt;100","BAL12.5","")))))</f>
        <v/>
      </c>
      <c r="J37" s="456"/>
      <c r="K37" s="431" t="str">
        <f>IF(J37="&lt;9","BALFZ",IF(J37="9&lt;13","BAL40",IF(J37="13&lt;19","BAL29",IF(J37="19&lt;28","BAL19",IF(J37="28&lt;100","BAL12.5","")))))</f>
        <v/>
      </c>
      <c r="L37" s="456"/>
      <c r="M37" s="442" t="str">
        <f>IF(L37="&lt;10","BALFZ",IF(L37="10&lt;15","BAL40",IF(L37="15&lt;22","BAL29",IF(L37="22&lt;31","BAL19",IF(L37="31&lt;100","BAL12.5","")))))</f>
        <v/>
      </c>
      <c r="N37" s="433"/>
      <c r="O37" s="425" t="str">
        <f>IF(D37=0,"","Shrubland")</f>
        <v/>
      </c>
      <c r="P37" s="425" t="str">
        <f>IF(F37=0,"","Shrubland")</f>
        <v/>
      </c>
      <c r="Q37" s="425" t="str">
        <f>IF(H37=0,"","Shrubland")</f>
        <v/>
      </c>
      <c r="R37" s="425" t="str">
        <f>IF(J37=0,"","Shrubland")</f>
        <v/>
      </c>
      <c r="S37" s="425" t="str">
        <f>IF(L37=0,"","Shrubland")</f>
        <v/>
      </c>
      <c r="T37" s="390" t="s">
        <v>1346</v>
      </c>
      <c r="U37" s="460" t="str">
        <f t="shared" si="0"/>
        <v/>
      </c>
    </row>
    <row r="38" spans="1:21" s="461" customFormat="1" ht="18.75" hidden="1" x14ac:dyDescent="0.3">
      <c r="A38" s="449"/>
      <c r="B38" s="463" t="s">
        <v>1331</v>
      </c>
      <c r="C38" s="464"/>
      <c r="D38" s="465" t="str">
        <f>E37</f>
        <v/>
      </c>
      <c r="E38" s="469"/>
      <c r="F38" s="465" t="str">
        <f>G37</f>
        <v/>
      </c>
      <c r="G38" s="467"/>
      <c r="H38" s="468" t="str">
        <f>I37</f>
        <v/>
      </c>
      <c r="I38" s="469"/>
      <c r="J38" s="468" t="str">
        <f>K37</f>
        <v/>
      </c>
      <c r="K38" s="469"/>
      <c r="L38" s="468" t="str">
        <f>M37</f>
        <v/>
      </c>
      <c r="M38" s="458"/>
      <c r="N38" s="459"/>
      <c r="O38" s="425" t="str">
        <f>IF(D38=0,"","Forests")</f>
        <v>Forests</v>
      </c>
      <c r="P38" s="425" t="str">
        <f>IF(F38=0,"","Forests")</f>
        <v>Forests</v>
      </c>
      <c r="Q38" s="425" t="str">
        <f>IF(H38=0,"","Forests")</f>
        <v>Forests</v>
      </c>
      <c r="R38" s="425" t="str">
        <f>IF(J38=0,"","Forests")</f>
        <v>Forests</v>
      </c>
      <c r="S38" s="425" t="str">
        <f>IF(L38=0,"","Forests")</f>
        <v>Forests</v>
      </c>
      <c r="U38" s="460" t="str">
        <f t="shared" si="0"/>
        <v/>
      </c>
    </row>
    <row r="39" spans="1:21" s="461" customFormat="1" hidden="1" x14ac:dyDescent="0.25">
      <c r="A39" s="449"/>
      <c r="B39" s="470" t="s">
        <v>1347</v>
      </c>
      <c r="C39" s="471"/>
      <c r="D39" s="473" t="str">
        <f>IF(LEFT(E37,3)="BAL",10,"")</f>
        <v/>
      </c>
      <c r="E39" s="469"/>
      <c r="F39" s="473" t="str">
        <f>IF(LEFT(G37,3)="BAL",10,"")</f>
        <v/>
      </c>
      <c r="G39" s="467"/>
      <c r="H39" s="474" t="str">
        <f>IF(LEFT(I37,3)="BAL",10,"")</f>
        <v/>
      </c>
      <c r="I39" s="469"/>
      <c r="J39" s="474" t="str">
        <f>IF(LEFT(K37,3)="BAL",10,"")</f>
        <v/>
      </c>
      <c r="K39" s="469"/>
      <c r="L39" s="474" t="str">
        <f>IF(LEFT(M37,3)="BAL",15,"")</f>
        <v/>
      </c>
      <c r="M39" s="458"/>
      <c r="N39" s="459"/>
      <c r="O39" s="425" t="str">
        <f>IF(D39=0,"","Forests")</f>
        <v>Forests</v>
      </c>
      <c r="P39" s="425" t="str">
        <f>IF(F39=0,"","Forests")</f>
        <v>Forests</v>
      </c>
      <c r="Q39" s="425" t="str">
        <f>IF(H39=0,"","Forests")</f>
        <v>Forests</v>
      </c>
      <c r="R39" s="425" t="str">
        <f>IF(J39=0,"","Forests")</f>
        <v>Forests</v>
      </c>
      <c r="S39" s="425" t="str">
        <f>IF(L39=0,"","Forests")</f>
        <v>Forests</v>
      </c>
      <c r="U39" s="460" t="str">
        <f t="shared" si="0"/>
        <v/>
      </c>
    </row>
    <row r="40" spans="1:21" s="461" customFormat="1" hidden="1" x14ac:dyDescent="0.25">
      <c r="A40" s="449"/>
      <c r="B40" s="470" t="s">
        <v>1342</v>
      </c>
      <c r="C40" s="471"/>
      <c r="D40" s="473" t="str">
        <f>IF(LEFT(E37,3)="BAL",10,"")</f>
        <v/>
      </c>
      <c r="E40" s="469"/>
      <c r="F40" s="473" t="str">
        <f>IF(LEFT(G37,3)="BAL",10,"")</f>
        <v/>
      </c>
      <c r="G40" s="467"/>
      <c r="H40" s="474" t="str">
        <f>IF(LEFT(I37,3)="BAL",10,"")</f>
        <v/>
      </c>
      <c r="I40" s="469"/>
      <c r="J40" s="474" t="str">
        <f>IF(LEFT(K37,3)="BAL",10,"")</f>
        <v/>
      </c>
      <c r="K40" s="469"/>
      <c r="L40" s="474" t="str">
        <f>IF(LEFT(M37,3)="BAL",15,"")</f>
        <v/>
      </c>
      <c r="M40" s="458"/>
      <c r="N40" s="459"/>
      <c r="O40" s="425" t="str">
        <f>IF(D40=0,"","Forests")</f>
        <v>Forests</v>
      </c>
      <c r="P40" s="425" t="str">
        <f>IF(F40=0,"","Forests")</f>
        <v>Forests</v>
      </c>
      <c r="Q40" s="425" t="str">
        <f>IF(H40=0,"","Forests")</f>
        <v>Forests</v>
      </c>
      <c r="R40" s="425" t="str">
        <f>IF(J40=0,"","Forests")</f>
        <v>Forests</v>
      </c>
      <c r="S40" s="425" t="str">
        <f>IF(L40=0,"","Forests")</f>
        <v>Forests</v>
      </c>
      <c r="U40" s="460" t="str">
        <f t="shared" si="0"/>
        <v/>
      </c>
    </row>
    <row r="41" spans="1:21" s="461" customFormat="1" hidden="1" x14ac:dyDescent="0.25">
      <c r="A41" s="449"/>
      <c r="B41" s="470" t="s">
        <v>1343</v>
      </c>
      <c r="C41" s="471"/>
      <c r="D41" s="473" t="str">
        <f>IF(LEFT(E37,3)="BAL",0,"")</f>
        <v/>
      </c>
      <c r="E41" s="469"/>
      <c r="F41" s="473" t="str">
        <f>IF(LEFT(G37,3)="BAL",0,"")</f>
        <v/>
      </c>
      <c r="G41" s="467"/>
      <c r="H41" s="474" t="str">
        <f>IF(LEFT(I37,3)="BAL",0,"")</f>
        <v/>
      </c>
      <c r="I41" s="469"/>
      <c r="J41" s="474" t="str">
        <f>IF(LEFT(K37,3)="BAL",0,"")</f>
        <v/>
      </c>
      <c r="K41" s="469"/>
      <c r="L41" s="474" t="str">
        <f>IF(LEFT(M37,3)="BAL",0,"")</f>
        <v/>
      </c>
      <c r="M41" s="458"/>
      <c r="N41" s="459"/>
      <c r="O41" s="425" t="str">
        <f>IF(D41=0,"","Forests")</f>
        <v>Forests</v>
      </c>
      <c r="P41" s="425" t="str">
        <f>IF(F41=0,"","Forests")</f>
        <v>Forests</v>
      </c>
      <c r="Q41" s="425" t="str">
        <f>IF(H41=0,"","Forests")</f>
        <v>Forests</v>
      </c>
      <c r="R41" s="425" t="str">
        <f>IF(J41=0,"","Forests")</f>
        <v>Forests</v>
      </c>
      <c r="S41" s="425" t="str">
        <f>IF(L41=0,"","Forests")</f>
        <v>Forests</v>
      </c>
      <c r="U41" s="460" t="str">
        <f t="shared" si="0"/>
        <v/>
      </c>
    </row>
    <row r="42" spans="1:21" ht="6" customHeight="1" x14ac:dyDescent="0.25">
      <c r="A42" s="427"/>
      <c r="B42" s="443"/>
      <c r="C42" s="443"/>
      <c r="D42" s="444"/>
      <c r="E42" s="445"/>
      <c r="F42" s="444"/>
      <c r="G42" s="446"/>
      <c r="H42" s="447"/>
      <c r="I42" s="445"/>
      <c r="J42" s="447"/>
      <c r="K42" s="445"/>
      <c r="L42" s="447"/>
      <c r="M42" s="442"/>
      <c r="N42" s="448"/>
      <c r="O42" s="425"/>
      <c r="P42" s="425"/>
      <c r="Q42" s="425"/>
      <c r="R42" s="425"/>
      <c r="S42" s="425"/>
      <c r="U42" s="460" t="str">
        <f t="shared" si="0"/>
        <v/>
      </c>
    </row>
    <row r="43" spans="1:21" ht="18.75" x14ac:dyDescent="0.3">
      <c r="A43" s="427"/>
      <c r="B43" s="450" t="s">
        <v>1348</v>
      </c>
      <c r="C43" s="435"/>
      <c r="D43" s="452"/>
      <c r="E43" s="431" t="str">
        <f>IF(D43="&lt;10","BALFZ",IF(D43="10&lt;13","BAL40",IF(D43="13&lt;19","BAL29",IF(D43="19&lt;27","BAL19",IF(D43="27&lt;100","BAL12.5","")))))</f>
        <v/>
      </c>
      <c r="F43" s="452"/>
      <c r="G43" s="455" t="str">
        <f>IF(F43="&lt;11","BALFZ",IF(F43="11&lt;15","BAL40",IF(F43="15&lt;22","BAL29",IF(F43="22&lt;31","BAL19",IF(F43="31&lt;100","BAL12.5","")))))</f>
        <v/>
      </c>
      <c r="H43" s="456"/>
      <c r="I43" s="431" t="str">
        <f>IF(H43="&lt;12","BALFZ",IF(H43="12&lt;17","BAL40",IF(H43="17&lt;24","BAL29",IF(H43="24&lt;35","BAL19",IF(H43="35&lt;100","BAL12.5","")))))</f>
        <v/>
      </c>
      <c r="J43" s="456"/>
      <c r="K43" s="431" t="str">
        <f>IF(J43="&lt;14","BALFZ",IF(J43="14&lt;19","BAL40",IF(J43="19&lt;28","BAL29",IF(J43="28&lt;39","BAL19",IF(J43="39&lt;100","BAL12.5","")))))</f>
        <v/>
      </c>
      <c r="L43" s="456"/>
      <c r="M43" s="442" t="str">
        <f>IF(L43="&lt;15","BALFZ",IF(L43="15&lt;21","BAL40",IF(L43="21&lt;31","BAL29",IF(L43="31&lt;43","BAL19",IF(L43="43&lt;100","BAL12.5","")))))</f>
        <v/>
      </c>
      <c r="N43" s="433"/>
      <c r="O43" s="425" t="str">
        <f>IF(D43=0,"","Scrub")</f>
        <v/>
      </c>
      <c r="P43" s="425" t="str">
        <f>IF(F43=0,"","Scrub")</f>
        <v/>
      </c>
      <c r="Q43" s="425" t="str">
        <f>IF(H43=0,"","Scrub")</f>
        <v/>
      </c>
      <c r="R43" s="425" t="str">
        <f>IF(J43=0,"","Scrub")</f>
        <v/>
      </c>
      <c r="S43" s="425" t="str">
        <f>IF(L43=0,"","Scrub")</f>
        <v/>
      </c>
      <c r="U43" s="460" t="str">
        <f t="shared" si="0"/>
        <v/>
      </c>
    </row>
    <row r="44" spans="1:21" s="461" customFormat="1" ht="18.75" hidden="1" x14ac:dyDescent="0.3">
      <c r="A44" s="449"/>
      <c r="B44" s="463" t="s">
        <v>1331</v>
      </c>
      <c r="C44" s="464"/>
      <c r="D44" s="465" t="str">
        <f>E43</f>
        <v/>
      </c>
      <c r="E44" s="469"/>
      <c r="F44" s="465" t="str">
        <f>G43</f>
        <v/>
      </c>
      <c r="G44" s="467"/>
      <c r="H44" s="468" t="str">
        <f>I43</f>
        <v/>
      </c>
      <c r="I44" s="469"/>
      <c r="J44" s="468" t="str">
        <f>K43</f>
        <v/>
      </c>
      <c r="K44" s="469"/>
      <c r="L44" s="468" t="str">
        <f>M43</f>
        <v/>
      </c>
      <c r="M44" s="458"/>
      <c r="N44" s="459"/>
      <c r="O44" s="425" t="str">
        <f>IF(D44=0,"","Forests")</f>
        <v>Forests</v>
      </c>
      <c r="P44" s="425" t="str">
        <f>IF(F44=0,"","Forests")</f>
        <v>Forests</v>
      </c>
      <c r="Q44" s="425" t="str">
        <f>IF(H44=0,"","Forests")</f>
        <v>Forests</v>
      </c>
      <c r="R44" s="425" t="str">
        <f>IF(J44=0,"","Forests")</f>
        <v>Forests</v>
      </c>
      <c r="S44" s="425" t="str">
        <f>IF(L44=0,"","Forests")</f>
        <v>Forests</v>
      </c>
      <c r="U44" s="460" t="str">
        <f t="shared" si="0"/>
        <v/>
      </c>
    </row>
    <row r="45" spans="1:21" s="461" customFormat="1" hidden="1" x14ac:dyDescent="0.25">
      <c r="A45" s="449"/>
      <c r="B45" s="470" t="s">
        <v>1349</v>
      </c>
      <c r="C45" s="471"/>
      <c r="D45" s="472" t="str">
        <f>IF(LEFT(E43,3)="BAL",15,"")</f>
        <v/>
      </c>
      <c r="E45" s="469"/>
      <c r="F45" s="473" t="str">
        <f>IF(LEFT(G43,3)="BAL",15,"")</f>
        <v/>
      </c>
      <c r="G45" s="467"/>
      <c r="H45" s="474" t="str">
        <f>IF(LEFT(I43,3)="BAL",20,"")</f>
        <v/>
      </c>
      <c r="I45" s="469"/>
      <c r="J45" s="474" t="str">
        <f>IF(LEFT(K43,3)="BAL",20,"")</f>
        <v/>
      </c>
      <c r="K45" s="469"/>
      <c r="L45" s="474" t="str">
        <f>IF(LEFT(M43,3)="BAL",20,"")</f>
        <v/>
      </c>
      <c r="M45" s="458"/>
      <c r="N45" s="459"/>
      <c r="O45" s="425" t="str">
        <f>IF(D45=0,"","Forests")</f>
        <v>Forests</v>
      </c>
      <c r="P45" s="425" t="str">
        <f>IF(F45=0,"","Forests")</f>
        <v>Forests</v>
      </c>
      <c r="Q45" s="425" t="str">
        <f>IF(H45=0,"","Forests")</f>
        <v>Forests</v>
      </c>
      <c r="R45" s="425" t="str">
        <f>IF(J45=0,"","Forests")</f>
        <v>Forests</v>
      </c>
      <c r="S45" s="425" t="str">
        <f>IF(L45=0,"","Forests")</f>
        <v>Forests</v>
      </c>
      <c r="U45" s="460" t="str">
        <f t="shared" si="0"/>
        <v/>
      </c>
    </row>
    <row r="46" spans="1:21" s="461" customFormat="1" hidden="1" x14ac:dyDescent="0.25">
      <c r="A46" s="449"/>
      <c r="B46" s="470" t="s">
        <v>1350</v>
      </c>
      <c r="C46" s="471"/>
      <c r="D46" s="473" t="str">
        <f>IF(LEFT(E43,3)="BAL",15,"")</f>
        <v/>
      </c>
      <c r="E46" s="469"/>
      <c r="F46" s="473" t="str">
        <f>IF(LEFT(G43,3)="BAL",15,"")</f>
        <v/>
      </c>
      <c r="G46" s="467"/>
      <c r="H46" s="474" t="str">
        <f>IF(LEFT(I43,3)="BAL",20,"")</f>
        <v/>
      </c>
      <c r="I46" s="469"/>
      <c r="J46" s="474" t="str">
        <f>IF(LEFT(K43,3)="BAL",20,"")</f>
        <v/>
      </c>
      <c r="K46" s="469"/>
      <c r="L46" s="474" t="str">
        <f>IF(LEFT(M43,3)="BAL",20,"")</f>
        <v/>
      </c>
      <c r="M46" s="458"/>
      <c r="N46" s="459"/>
      <c r="O46" s="425" t="str">
        <f>IF(D46=0,"","Forests")</f>
        <v>Forests</v>
      </c>
      <c r="P46" s="425" t="str">
        <f>IF(F46=0,"","Forests")</f>
        <v>Forests</v>
      </c>
      <c r="Q46" s="425" t="str">
        <f>IF(H46=0,"","Forests")</f>
        <v>Forests</v>
      </c>
      <c r="R46" s="425" t="str">
        <f>IF(J46=0,"","Forests")</f>
        <v>Forests</v>
      </c>
      <c r="S46" s="425" t="str">
        <f>IF(L46=0,"","Forests")</f>
        <v>Forests</v>
      </c>
      <c r="U46" s="460" t="str">
        <f t="shared" si="0"/>
        <v/>
      </c>
    </row>
    <row r="47" spans="1:21" s="461" customFormat="1" hidden="1" x14ac:dyDescent="0.25">
      <c r="A47" s="449"/>
      <c r="B47" s="470" t="s">
        <v>1351</v>
      </c>
      <c r="C47" s="471"/>
      <c r="D47" s="473" t="str">
        <f>IF(LEFT(E43,3)="BAL",0,"")</f>
        <v/>
      </c>
      <c r="E47" s="469"/>
      <c r="F47" s="473" t="str">
        <f>IF(LEFT(G43,3)="BAL",0,"")</f>
        <v/>
      </c>
      <c r="G47" s="467"/>
      <c r="H47" s="474" t="str">
        <f>IF(LEFT(I43,3)="BAL",0,"")</f>
        <v/>
      </c>
      <c r="I47" s="469"/>
      <c r="J47" s="474" t="str">
        <f>IF(LEFT(K43,3)="BAL",0,"")</f>
        <v/>
      </c>
      <c r="K47" s="469"/>
      <c r="L47" s="474" t="str">
        <f>IF(LEFT(M43,3)="BAL",0,"")</f>
        <v/>
      </c>
      <c r="M47" s="458"/>
      <c r="N47" s="459"/>
      <c r="O47" s="425" t="str">
        <f>IF(D47=0,"","Forests")</f>
        <v>Forests</v>
      </c>
      <c r="P47" s="425" t="str">
        <f>IF(F47=0,"","Forests")</f>
        <v>Forests</v>
      </c>
      <c r="Q47" s="425" t="str">
        <f>IF(H47=0,"","Forests")</f>
        <v>Forests</v>
      </c>
      <c r="R47" s="425" t="str">
        <f>IF(J47=0,"","Forests")</f>
        <v>Forests</v>
      </c>
      <c r="S47" s="425" t="str">
        <f>IF(L47=0,"","Forests")</f>
        <v>Forests</v>
      </c>
      <c r="U47" s="460" t="str">
        <f t="shared" si="0"/>
        <v/>
      </c>
    </row>
    <row r="48" spans="1:21" s="461" customFormat="1" ht="18.75" hidden="1" x14ac:dyDescent="0.3">
      <c r="A48" s="449"/>
      <c r="B48" s="463"/>
      <c r="C48" s="463"/>
      <c r="D48" s="465"/>
      <c r="E48" s="481"/>
      <c r="F48" s="465"/>
      <c r="G48" s="482"/>
      <c r="H48" s="468"/>
      <c r="I48" s="481"/>
      <c r="J48" s="468"/>
      <c r="K48" s="481"/>
      <c r="L48" s="468"/>
      <c r="M48" s="458"/>
      <c r="N48" s="459"/>
      <c r="O48" s="425"/>
      <c r="P48" s="425"/>
      <c r="Q48" s="425"/>
      <c r="R48" s="425"/>
      <c r="S48" s="425"/>
      <c r="U48" s="460" t="str">
        <f t="shared" si="0"/>
        <v/>
      </c>
    </row>
    <row r="49" spans="1:33" s="461" customFormat="1" hidden="1" x14ac:dyDescent="0.25">
      <c r="A49" s="449"/>
      <c r="B49" s="470" t="s">
        <v>1352</v>
      </c>
      <c r="C49" s="471"/>
      <c r="D49" s="473" t="str">
        <f>IF(LEFT(E43,3)="BAL",10,"")</f>
        <v/>
      </c>
      <c r="E49" s="469"/>
      <c r="F49" s="473" t="str">
        <f>IF(LEFT(G43,3)="BAL",10,"")</f>
        <v/>
      </c>
      <c r="G49" s="467"/>
      <c r="H49" s="474" t="str">
        <f>IF(LEFT(I43,3)="BAL",10,"")</f>
        <v/>
      </c>
      <c r="I49" s="469"/>
      <c r="J49" s="474" t="str">
        <f>IF(LEFT(K43,3)="BAL",15,"")</f>
        <v/>
      </c>
      <c r="K49" s="469"/>
      <c r="L49" s="474" t="str">
        <f>IF(LEFT(M43,3)="BAL",15,"")</f>
        <v/>
      </c>
      <c r="M49" s="458"/>
      <c r="N49" s="459"/>
      <c r="O49" s="425" t="str">
        <f>IF(D49=0,"","Forests")</f>
        <v>Forests</v>
      </c>
      <c r="P49" s="425" t="str">
        <f>IF(F49=0,"","Forests")</f>
        <v>Forests</v>
      </c>
      <c r="Q49" s="425" t="str">
        <f>IF(H49=0,"","Forests")</f>
        <v>Forests</v>
      </c>
      <c r="R49" s="425" t="str">
        <f>IF(J49=0,"","Forests")</f>
        <v>Forests</v>
      </c>
      <c r="S49" s="425" t="str">
        <f>IF(L49=0,"","Forests")</f>
        <v>Forests</v>
      </c>
      <c r="U49" s="460" t="str">
        <f t="shared" si="0"/>
        <v/>
      </c>
    </row>
    <row r="50" spans="1:33" s="461" customFormat="1" hidden="1" x14ac:dyDescent="0.25">
      <c r="A50" s="449"/>
      <c r="B50" s="470" t="s">
        <v>1353</v>
      </c>
      <c r="C50" s="471"/>
      <c r="D50" s="473" t="str">
        <f>IF(LEFT(E43,3)="BAL",10,"")</f>
        <v/>
      </c>
      <c r="E50" s="469"/>
      <c r="F50" s="473" t="str">
        <f>IF(LEFT(G43,3)="BAL",10,"")</f>
        <v/>
      </c>
      <c r="G50" s="467"/>
      <c r="H50" s="474" t="str">
        <f>IF(LEFT(I43,3)="BAL",10,"")</f>
        <v/>
      </c>
      <c r="I50" s="469"/>
      <c r="J50" s="474" t="str">
        <f>IF(LEFT(K43,3)="BAL",15,"")</f>
        <v/>
      </c>
      <c r="K50" s="469"/>
      <c r="L50" s="474" t="str">
        <f>IF(LEFT(M43,3)="BAL",15,"")</f>
        <v/>
      </c>
      <c r="M50" s="458"/>
      <c r="N50" s="459"/>
      <c r="O50" s="425" t="str">
        <f>IF(D50=0,"","Forests")</f>
        <v>Forests</v>
      </c>
      <c r="P50" s="425" t="str">
        <f>IF(F50=0,"","Forests")</f>
        <v>Forests</v>
      </c>
      <c r="Q50" s="425" t="str">
        <f>IF(H50=0,"","Forests")</f>
        <v>Forests</v>
      </c>
      <c r="R50" s="425" t="str">
        <f>IF(J50=0,"","Forests")</f>
        <v>Forests</v>
      </c>
      <c r="S50" s="425" t="str">
        <f>IF(L50=0,"","Forests")</f>
        <v>Forests</v>
      </c>
      <c r="U50" s="460" t="str">
        <f t="shared" si="0"/>
        <v/>
      </c>
    </row>
    <row r="51" spans="1:33" s="461" customFormat="1" hidden="1" x14ac:dyDescent="0.25">
      <c r="A51" s="449"/>
      <c r="B51" s="470" t="s">
        <v>1354</v>
      </c>
      <c r="C51" s="471"/>
      <c r="D51" s="473" t="str">
        <f>IF(LEFT(E43,3)="BAL",0,"")</f>
        <v/>
      </c>
      <c r="E51" s="469"/>
      <c r="F51" s="473" t="str">
        <f>IF(LEFT(G43,3)="BAL",0,"")</f>
        <v/>
      </c>
      <c r="G51" s="467"/>
      <c r="H51" s="474" t="str">
        <f>IF(LEFT(I43,3)="BAL",0,"")</f>
        <v/>
      </c>
      <c r="I51" s="469"/>
      <c r="J51" s="474" t="str">
        <f>IF(LEFT(K43,3)="BAL",0,"")</f>
        <v/>
      </c>
      <c r="K51" s="469"/>
      <c r="L51" s="474" t="str">
        <f>IF(LEFT(M43,3)="BAL",0,"")</f>
        <v/>
      </c>
      <c r="M51" s="458"/>
      <c r="N51" s="459"/>
      <c r="O51" s="425" t="str">
        <f>IF(D51=0,"","Forests")</f>
        <v>Forests</v>
      </c>
      <c r="P51" s="425" t="str">
        <f>IF(F51=0,"","Forests")</f>
        <v>Forests</v>
      </c>
      <c r="Q51" s="425" t="str">
        <f>IF(H51=0,"","Forests")</f>
        <v>Forests</v>
      </c>
      <c r="R51" s="425" t="str">
        <f>IF(J51=0,"","Forests")</f>
        <v>Forests</v>
      </c>
      <c r="S51" s="425" t="str">
        <f>IF(L51=0,"","Forests")</f>
        <v>Forests</v>
      </c>
      <c r="U51" s="460" t="str">
        <f t="shared" si="0"/>
        <v/>
      </c>
    </row>
    <row r="52" spans="1:33" ht="6" customHeight="1" x14ac:dyDescent="0.25">
      <c r="A52" s="427"/>
      <c r="B52" s="443"/>
      <c r="C52" s="443"/>
      <c r="D52" s="444"/>
      <c r="E52" s="445"/>
      <c r="F52" s="444"/>
      <c r="G52" s="446"/>
      <c r="H52" s="447"/>
      <c r="I52" s="445"/>
      <c r="J52" s="447"/>
      <c r="K52" s="445"/>
      <c r="L52" s="447"/>
      <c r="M52" s="442"/>
      <c r="N52" s="448"/>
      <c r="O52" s="425" t="str">
        <f>IF(D52=0,"","Forests")</f>
        <v/>
      </c>
      <c r="P52" s="425" t="str">
        <f>IF(F52=0,"","Forests")</f>
        <v/>
      </c>
      <c r="Q52" s="425" t="str">
        <f>IF(H52=0,"","Forests")</f>
        <v/>
      </c>
      <c r="R52" s="425" t="str">
        <f>IF(J52=0,"","Forests")</f>
        <v/>
      </c>
      <c r="S52" s="425" t="str">
        <f>IF(L52=0,"","Forests")</f>
        <v/>
      </c>
      <c r="U52" s="460" t="str">
        <f t="shared" si="0"/>
        <v/>
      </c>
    </row>
    <row r="53" spans="1:33" ht="18.75" x14ac:dyDescent="0.3">
      <c r="A53" s="427"/>
      <c r="B53" s="450" t="s">
        <v>1355</v>
      </c>
      <c r="C53" s="435"/>
      <c r="D53" s="452"/>
      <c r="E53" s="431" t="str">
        <f>IF(D53="&lt;6","BALFZ",IF(D53="6&lt;8","BAL40",IF(D53="8&lt;12","BAL29",IF(D53="13&lt;17","BAL19",IF(D53="17&lt;50","BAL12.5","")))))</f>
        <v/>
      </c>
      <c r="F53" s="452"/>
      <c r="G53" s="455" t="str">
        <f>IF(F53="&lt;7","BALFZ",IF(F53="7&lt;9","BAL40",IF(F53="9&lt;14","BAL29",IF(F53="14&lt;20","BAL19",IF(F53="20&lt;50","BAL12.5","")))))</f>
        <v/>
      </c>
      <c r="H53" s="456"/>
      <c r="I53" s="431" t="str">
        <f>IF(H53="&lt;8","BALFZ",IF(H53="8&lt;10","BAL40",IF(H53="10&lt;16","BAL29",IF(H53="16&lt;23","BAL19",IF(H53="23&lt;50","BAL12.5","")))))</f>
        <v/>
      </c>
      <c r="J53" s="456"/>
      <c r="K53" s="431" t="str">
        <f>IF(J53="&lt;9","BALFZ",IF(J53="9&lt;12","BAL40",IF(J53="12&lt;18","BAL29",IF(J53="18&lt;26","BAL19",IF(J53="26&lt;50","BAL12.5","")))))</f>
        <v/>
      </c>
      <c r="L53" s="456"/>
      <c r="M53" s="442" t="str">
        <f>IF(L53="&lt;10","BALFZ",IF(L53="10&lt;14","BAL40",IF(L53="14&lt;21","BAL29",IF(L53="21&lt;30","BAL19",IF(L53="30&lt;50","BAL12.5","")))))</f>
        <v/>
      </c>
      <c r="N53" s="433"/>
      <c r="O53" s="425" t="str">
        <f>IF(D53=0,"","Grassland")</f>
        <v/>
      </c>
      <c r="P53" s="425" t="str">
        <f>IF(F53=0,"","Grassland")</f>
        <v/>
      </c>
      <c r="Q53" s="425" t="str">
        <f>IF(H53=0,"","Grassland")</f>
        <v/>
      </c>
      <c r="R53" s="425" t="str">
        <f>IF(J53=0,"","Grassland")</f>
        <v/>
      </c>
      <c r="S53" s="425" t="str">
        <f>IF(L53=0,"","Grassland")</f>
        <v/>
      </c>
      <c r="U53" s="460" t="str">
        <f t="shared" si="0"/>
        <v/>
      </c>
    </row>
    <row r="54" spans="1:33" s="461" customFormat="1" ht="18.75" hidden="1" x14ac:dyDescent="0.3">
      <c r="A54" s="449"/>
      <c r="B54" s="463" t="s">
        <v>1331</v>
      </c>
      <c r="C54" s="464"/>
      <c r="D54" s="465" t="str">
        <f>E53</f>
        <v/>
      </c>
      <c r="E54" s="469"/>
      <c r="F54" s="465" t="str">
        <f>G53</f>
        <v/>
      </c>
      <c r="G54" s="467"/>
      <c r="H54" s="468" t="str">
        <f>I53</f>
        <v/>
      </c>
      <c r="I54" s="469"/>
      <c r="J54" s="468" t="str">
        <f>K53</f>
        <v/>
      </c>
      <c r="K54" s="469"/>
      <c r="L54" s="468" t="str">
        <f>M53</f>
        <v/>
      </c>
      <c r="M54" s="458"/>
      <c r="N54" s="459"/>
      <c r="O54" s="474" t="str">
        <f>IF(LEFT(D54,3)="BAL","Grassland","")</f>
        <v/>
      </c>
      <c r="P54" s="474" t="str">
        <f>IF(LEFT(F54,3)="BAL","Grassland","")</f>
        <v/>
      </c>
      <c r="Q54" s="474" t="str">
        <f>IF(LEFT(H54,3)="BAL","Grassland","")</f>
        <v/>
      </c>
      <c r="R54" s="474" t="str">
        <f>IF(LEFT(J54,3)="BAL","Grassland","")</f>
        <v/>
      </c>
      <c r="S54" s="474" t="str">
        <f>IF(LEFT(L54,3)="BAL","Grassland","")</f>
        <v/>
      </c>
    </row>
    <row r="55" spans="1:33" s="461" customFormat="1" hidden="1" x14ac:dyDescent="0.25">
      <c r="A55" s="449"/>
      <c r="B55" s="470" t="s">
        <v>1341</v>
      </c>
      <c r="C55" s="471"/>
      <c r="D55" s="473" t="str">
        <f>IF(LEFT(E53,3)="BAL",10,"")</f>
        <v/>
      </c>
      <c r="E55" s="469"/>
      <c r="F55" s="473" t="str">
        <f>IF(LEFT(G53,3)="BAL",10,"")</f>
        <v/>
      </c>
      <c r="G55" s="467"/>
      <c r="H55" s="474" t="str">
        <f>IF(LEFT(I53,3)="BAL",10,"")</f>
        <v/>
      </c>
      <c r="I55" s="469"/>
      <c r="J55" s="474" t="str">
        <f>IF(LEFT(K53,3)="BAL",10,"")</f>
        <v/>
      </c>
      <c r="K55" s="469"/>
      <c r="L55" s="474" t="str">
        <f>IF(LEFT(M53,3)="BAL",10,"")</f>
        <v/>
      </c>
      <c r="M55" s="458"/>
      <c r="N55" s="459"/>
      <c r="O55" s="483" t="str">
        <f>IF(O54="Grassland","Grassland",IF(P54="Grassland","Grassland",IF(Q54="Grassland","Grassland",IF(R54="Grassland","Grassland",IF(S54="Grassland","Grassland","")))))</f>
        <v/>
      </c>
      <c r="P55" s="471"/>
      <c r="Q55" s="471"/>
      <c r="R55" s="471"/>
      <c r="S55" s="471"/>
    </row>
    <row r="56" spans="1:33" s="461" customFormat="1" hidden="1" x14ac:dyDescent="0.25">
      <c r="A56" s="449"/>
      <c r="B56" s="470" t="s">
        <v>1342</v>
      </c>
      <c r="C56" s="471"/>
      <c r="D56" s="473" t="str">
        <f>IF(LEFT(E53,3)="BAL",10,"")</f>
        <v/>
      </c>
      <c r="E56" s="469"/>
      <c r="F56" s="473" t="str">
        <f>IF(LEFT(G53,3)="BAL",10,"")</f>
        <v/>
      </c>
      <c r="G56" s="467"/>
      <c r="H56" s="474" t="str">
        <f>IF(LEFT(I53,3)="BAL",10,"")</f>
        <v/>
      </c>
      <c r="I56" s="469"/>
      <c r="J56" s="474" t="str">
        <f>IF(LEFT(K53,3)="BAL",10,"")</f>
        <v/>
      </c>
      <c r="K56" s="469"/>
      <c r="L56" s="474" t="str">
        <f>IF(LEFT(M53,3)="BAL",10,"")</f>
        <v/>
      </c>
      <c r="M56" s="458"/>
      <c r="N56" s="459"/>
      <c r="O56" s="471"/>
      <c r="P56" s="471"/>
      <c r="Q56" s="471"/>
      <c r="R56" s="471"/>
      <c r="S56" s="471"/>
    </row>
    <row r="57" spans="1:33" s="461" customFormat="1" hidden="1" x14ac:dyDescent="0.25">
      <c r="A57" s="449"/>
      <c r="B57" s="470" t="s">
        <v>1343</v>
      </c>
      <c r="C57" s="471"/>
      <c r="D57" s="473" t="str">
        <f>IF(LEFT(E53,3)="BAL",0,"")</f>
        <v/>
      </c>
      <c r="E57" s="469"/>
      <c r="F57" s="473" t="str">
        <f>IF(LEFT(G53,3)="BAL",0,"")</f>
        <v/>
      </c>
      <c r="G57" s="467"/>
      <c r="H57" s="474" t="str">
        <f>IF(LEFT(I53,3)="BAL",0,"")</f>
        <v/>
      </c>
      <c r="I57" s="469"/>
      <c r="J57" s="474" t="str">
        <f>IF(LEFT(K53,3)="BAL",0,"")</f>
        <v/>
      </c>
      <c r="K57" s="469"/>
      <c r="L57" s="474" t="str">
        <f>IF(LEFT(M53,3)="BAL",0,"")</f>
        <v/>
      </c>
      <c r="M57" s="458"/>
      <c r="N57" s="459"/>
      <c r="O57" s="471"/>
      <c r="P57" s="471"/>
      <c r="Q57" s="471"/>
      <c r="R57" s="471"/>
      <c r="S57" s="471"/>
    </row>
    <row r="58" spans="1:33" ht="6" customHeight="1" x14ac:dyDescent="0.25">
      <c r="A58" s="427"/>
      <c r="B58" s="443"/>
      <c r="C58" s="443"/>
      <c r="D58" s="444"/>
      <c r="E58" s="445"/>
      <c r="F58" s="444"/>
      <c r="G58" s="446"/>
      <c r="H58" s="447"/>
      <c r="I58" s="445"/>
      <c r="J58" s="447"/>
      <c r="K58" s="445"/>
      <c r="L58" s="447"/>
      <c r="M58" s="442"/>
      <c r="N58" s="448"/>
      <c r="O58" s="425"/>
      <c r="P58" s="425"/>
      <c r="Q58" s="425"/>
      <c r="R58" s="425"/>
      <c r="S58" s="425"/>
      <c r="T58" s="390" t="b">
        <f>IF(O21="Scrub","Scrub",IF(P21="Scrub","Scrub",IF(Q21="Scrub","Scrub",IF(R21="Scrub","Scrub",IF(S21="Scrub","Scrub",IF(O31="Woodlands","Woodlands",IF(P31="Woodlands","Woodlands",IF(Q31="Woodlands","Woodlands",IF(R31="Woodlands","Woodlands",IF(S31="Woodlands","Woodlands",IF(O37="Shrubland","Shrubland",IF(P37="Shrubland","Shrubland",IF(Q37="Shrubland","Shrubland",IF(R37="Shrubland","Shrubland",IF(S37="Shrubland","Shrubland",IF(O43="Scrub","Scrub",IF(P43="Scrub","Scrub",IF(Q43="Scrub","Scrub",IF(R43="Scrub","Scrub",IF(S43="Scrub","Scrub",IF(O53="Grassland","Grassland",IF(P53="Grassland","Grassland",IF(Q53="Grassland","Grassland",IF(R53="Grassland","Grassland",IF(S53="Grassland","Grassland")))))))))))))))))))))))))</f>
        <v>0</v>
      </c>
    </row>
    <row r="59" spans="1:33" ht="17.25" x14ac:dyDescent="0.3">
      <c r="A59" s="427"/>
      <c r="B59" s="484" t="s">
        <v>1356</v>
      </c>
      <c r="C59" s="435"/>
      <c r="D59" s="452"/>
      <c r="E59" s="431"/>
      <c r="F59" s="452"/>
      <c r="G59" s="455"/>
      <c r="H59" s="452"/>
      <c r="I59" s="431"/>
      <c r="J59" s="452"/>
      <c r="K59" s="485"/>
      <c r="L59" s="452"/>
      <c r="M59" s="442"/>
      <c r="N59" s="433"/>
      <c r="O59" s="425"/>
      <c r="P59" s="425"/>
      <c r="Q59" s="425"/>
      <c r="R59" s="425"/>
      <c r="S59" s="425"/>
    </row>
    <row r="60" spans="1:33" ht="7.5" customHeight="1" thickBot="1" x14ac:dyDescent="0.3">
      <c r="A60" s="486"/>
      <c r="B60" s="487"/>
      <c r="C60" s="487"/>
      <c r="D60" s="488"/>
      <c r="E60" s="489"/>
      <c r="F60" s="488"/>
      <c r="G60" s="490"/>
      <c r="H60" s="491"/>
      <c r="I60" s="492"/>
      <c r="J60" s="491"/>
      <c r="K60" s="493"/>
      <c r="L60" s="491"/>
      <c r="M60" s="494"/>
      <c r="N60" s="495"/>
      <c r="O60" s="425"/>
      <c r="P60" s="425"/>
      <c r="Q60" s="425"/>
      <c r="R60" s="425"/>
      <c r="S60" s="425"/>
    </row>
    <row r="61" spans="1:33" s="417" customFormat="1" ht="7.5" customHeight="1" thickBot="1" x14ac:dyDescent="0.3">
      <c r="B61" s="1096"/>
      <c r="C61" s="1096"/>
      <c r="D61" s="1096"/>
      <c r="E61" s="1096"/>
      <c r="F61" s="1096"/>
      <c r="G61" s="1096"/>
      <c r="H61" s="1096"/>
      <c r="I61" s="1096"/>
      <c r="J61" s="1096"/>
      <c r="K61" s="1096"/>
      <c r="L61" s="1096"/>
      <c r="M61" s="1096"/>
      <c r="N61" s="1096"/>
      <c r="O61" s="425"/>
      <c r="P61" s="425"/>
      <c r="Q61" s="425"/>
      <c r="R61" s="425"/>
      <c r="S61" s="425"/>
      <c r="T61" s="390"/>
      <c r="U61" s="390"/>
      <c r="V61" s="390"/>
      <c r="W61" s="390"/>
      <c r="X61" s="390"/>
      <c r="Y61" s="390"/>
      <c r="Z61" s="390"/>
      <c r="AA61" s="390"/>
      <c r="AB61" s="390"/>
      <c r="AC61" s="390"/>
      <c r="AD61" s="390"/>
      <c r="AE61" s="390"/>
      <c r="AF61" s="390"/>
      <c r="AG61" s="390"/>
    </row>
    <row r="62" spans="1:33" ht="8.25" customHeight="1" x14ac:dyDescent="0.25">
      <c r="A62" s="426"/>
      <c r="B62" s="1097"/>
      <c r="C62" s="1097"/>
      <c r="D62" s="1097"/>
      <c r="E62" s="1097"/>
      <c r="F62" s="1097"/>
      <c r="G62" s="1097"/>
      <c r="H62" s="1097"/>
      <c r="I62" s="1097"/>
      <c r="J62" s="1097"/>
      <c r="K62" s="1097"/>
      <c r="L62" s="1097"/>
      <c r="M62" s="1097"/>
      <c r="N62" s="1098"/>
      <c r="O62" s="425"/>
      <c r="P62" s="425"/>
      <c r="Q62" s="425"/>
      <c r="R62" s="425"/>
      <c r="S62" s="425"/>
      <c r="Y62" s="382"/>
    </row>
    <row r="63" spans="1:33" ht="15.75" customHeight="1" x14ac:dyDescent="0.25">
      <c r="A63" s="427"/>
      <c r="B63" s="428" t="s">
        <v>1357</v>
      </c>
      <c r="C63" s="429"/>
      <c r="D63" s="430" t="s">
        <v>1321</v>
      </c>
      <c r="E63" s="431"/>
      <c r="F63" s="1093" t="s">
        <v>1322</v>
      </c>
      <c r="G63" s="1094"/>
      <c r="H63" s="1094"/>
      <c r="I63" s="1094"/>
      <c r="J63" s="1094"/>
      <c r="K63" s="1094"/>
      <c r="L63" s="1095"/>
      <c r="M63" s="496"/>
      <c r="N63" s="433"/>
      <c r="O63" s="425"/>
      <c r="P63" s="425"/>
      <c r="Q63" s="425"/>
      <c r="R63" s="425"/>
      <c r="S63" s="425"/>
    </row>
    <row r="64" spans="1:33" ht="16.5" customHeight="1" x14ac:dyDescent="0.25">
      <c r="A64" s="427"/>
      <c r="B64" s="497" t="s">
        <v>1323</v>
      </c>
      <c r="C64" s="435"/>
      <c r="D64" s="436" t="s">
        <v>1324</v>
      </c>
      <c r="E64" s="431"/>
      <c r="F64" s="437" t="s">
        <v>1325</v>
      </c>
      <c r="G64" s="438"/>
      <c r="H64" s="439" t="s">
        <v>1326</v>
      </c>
      <c r="I64" s="440"/>
      <c r="J64" s="439" t="s">
        <v>1327</v>
      </c>
      <c r="K64" s="440"/>
      <c r="L64" s="441" t="s">
        <v>1328</v>
      </c>
      <c r="M64" s="498"/>
      <c r="N64" s="433"/>
      <c r="O64" s="425"/>
      <c r="P64" s="425"/>
      <c r="Q64" s="425"/>
      <c r="R64" s="425"/>
      <c r="S64" s="425"/>
    </row>
    <row r="65" spans="1:20" ht="6.75" customHeight="1" x14ac:dyDescent="0.25">
      <c r="A65" s="427"/>
      <c r="B65" s="443"/>
      <c r="C65" s="443"/>
      <c r="D65" s="444"/>
      <c r="E65" s="445"/>
      <c r="F65" s="444"/>
      <c r="G65" s="446"/>
      <c r="H65" s="447"/>
      <c r="I65" s="445"/>
      <c r="J65" s="447"/>
      <c r="K65" s="445"/>
      <c r="L65" s="447"/>
      <c r="M65" s="498"/>
      <c r="N65" s="433"/>
      <c r="O65" s="425"/>
      <c r="P65" s="425"/>
      <c r="Q65" s="425"/>
      <c r="R65" s="425"/>
      <c r="S65" s="425"/>
    </row>
    <row r="66" spans="1:20" ht="18.75" x14ac:dyDescent="0.3">
      <c r="A66" s="427"/>
      <c r="B66" s="450" t="s">
        <v>1329</v>
      </c>
      <c r="C66" s="435"/>
      <c r="D66" s="452"/>
      <c r="E66" s="453" t="str">
        <f>IF(D66="&lt;16","BALFZ",IF(D66="16&lt;21","BAL40",IF(D66="21&lt;31","BAL29",IF(D66="31&lt;42","BAL19",IF(D66="42&lt;100","BAL12.5","")))))</f>
        <v/>
      </c>
      <c r="F66" s="454"/>
      <c r="G66" s="455" t="str">
        <f>IF(F66="&lt;20","BALFZ",IF(F66="20&lt;27","BAL40",IF(F66="27&lt;37","BAL29",IF(F66="37&lt;50","BAL19",IF(F66="50&lt;100","BAL12.5","")))))</f>
        <v/>
      </c>
      <c r="H66" s="456"/>
      <c r="I66" s="457" t="str">
        <f>IF(H66="&lt;26","BALFZ",IF(H66="26&lt;33","BAL40",IF(H66="33&lt;46","BAL29",IF(H66="46&lt;61","BAL19",IF(H66="61&lt;100","BAL12.5","")))))</f>
        <v/>
      </c>
      <c r="J66" s="456"/>
      <c r="K66" s="457" t="str">
        <f>IF(J66="&lt;33","BALFZ",IF(J66="33&lt;42","BAL40",IF(J66="42&lt;56","BAL29",IF(J66="56&lt;73","BAL19",IF(J66="73&lt;100","BAL12.5","")))))</f>
        <v/>
      </c>
      <c r="L66" s="456"/>
      <c r="M66" s="498" t="str">
        <f>IF(L66="&lt;42","BALFZ",IF(L66="42&lt;52","BAL40",IF(L66="52&lt;68","BAL29",IF(L66="68&lt;87","BAL19",IF(L66="87&lt;100","BAL12.5","")))))</f>
        <v/>
      </c>
      <c r="N66" s="433"/>
      <c r="O66" s="425" t="str">
        <f>IF(D66=0,"","Forests")</f>
        <v/>
      </c>
      <c r="P66" s="425" t="str">
        <f>IF(F66=0,"","Forests")</f>
        <v/>
      </c>
      <c r="Q66" s="425" t="str">
        <f>IF(H66=0,"","Forests")</f>
        <v/>
      </c>
      <c r="R66" s="425" t="str">
        <f>IF(J66=0,"","Forests")</f>
        <v/>
      </c>
      <c r="S66" s="425" t="str">
        <f>IF(L66=0,"","Forests")</f>
        <v/>
      </c>
      <c r="T66" s="390" t="s">
        <v>1330</v>
      </c>
    </row>
    <row r="67" spans="1:20" s="461" customFormat="1" ht="18.75" hidden="1" x14ac:dyDescent="0.3">
      <c r="A67" s="499"/>
      <c r="B67" s="463" t="s">
        <v>1331</v>
      </c>
      <c r="C67" s="464"/>
      <c r="D67" s="465" t="str">
        <f>E66</f>
        <v/>
      </c>
      <c r="E67" s="466"/>
      <c r="F67" s="465" t="str">
        <f>G66</f>
        <v/>
      </c>
      <c r="G67" s="467"/>
      <c r="H67" s="468" t="str">
        <f>I66</f>
        <v/>
      </c>
      <c r="I67" s="469"/>
      <c r="J67" s="468" t="str">
        <f>K66</f>
        <v/>
      </c>
      <c r="K67" s="469"/>
      <c r="L67" s="468" t="str">
        <f>M66</f>
        <v/>
      </c>
      <c r="M67" s="500"/>
      <c r="N67" s="459"/>
      <c r="O67" s="425" t="str">
        <f>IF(D67=0,"","Forests")</f>
        <v>Forests</v>
      </c>
      <c r="P67" s="425" t="str">
        <f>IF(F67=0,"","Forests")</f>
        <v>Forests</v>
      </c>
      <c r="Q67" s="425" t="str">
        <f>IF(H67=0,"","Forests")</f>
        <v>Forests</v>
      </c>
      <c r="R67" s="425" t="str">
        <f>IF(J67=0,"","Forests")</f>
        <v>Forests</v>
      </c>
      <c r="S67" s="425" t="str">
        <f>IF(L67=0,"","Forests")</f>
        <v>Forests</v>
      </c>
    </row>
    <row r="68" spans="1:20" s="461" customFormat="1" hidden="1" x14ac:dyDescent="0.25">
      <c r="A68" s="499"/>
      <c r="B68" s="470" t="s">
        <v>1358</v>
      </c>
      <c r="C68" s="471"/>
      <c r="D68" s="472" t="str">
        <f>IF(LEFT(E66,3)="BAL",20,"")</f>
        <v/>
      </c>
      <c r="E68" s="469"/>
      <c r="F68" s="473" t="str">
        <f>IF(LEFT(G66,3)="BAL",20,"")</f>
        <v/>
      </c>
      <c r="G68" s="467"/>
      <c r="H68" s="474" t="str">
        <f>IF(LEFT(I66,3)="BAL",30,"")</f>
        <v/>
      </c>
      <c r="I68" s="469"/>
      <c r="J68" s="474" t="str">
        <f>IF(LEFT(K66,3)="BAL",40,"")</f>
        <v/>
      </c>
      <c r="K68" s="469"/>
      <c r="L68" s="474" t="str">
        <f>IF(LEFT(M66,3)="BAL",45,"")</f>
        <v/>
      </c>
      <c r="M68" s="500"/>
      <c r="N68" s="459"/>
      <c r="O68" s="425" t="str">
        <f>IF(D68=0,"","Forests")</f>
        <v>Forests</v>
      </c>
      <c r="P68" s="425" t="str">
        <f>IF(F68=0,"","Forests")</f>
        <v>Forests</v>
      </c>
      <c r="Q68" s="425" t="str">
        <f>IF(H68=0,"","Forests")</f>
        <v>Forests</v>
      </c>
      <c r="R68" s="425" t="str">
        <f>IF(J68=0,"","Forests")</f>
        <v>Forests</v>
      </c>
      <c r="S68" s="425" t="str">
        <f>IF(L68=0,"","Forests")</f>
        <v>Forests</v>
      </c>
    </row>
    <row r="69" spans="1:20" s="461" customFormat="1" hidden="1" x14ac:dyDescent="0.25">
      <c r="A69" s="499"/>
      <c r="B69" s="470" t="s">
        <v>1333</v>
      </c>
      <c r="C69" s="471"/>
      <c r="D69" s="473" t="str">
        <f>IF(LEFT(E66,3)="BAL",10,"")</f>
        <v/>
      </c>
      <c r="E69" s="469"/>
      <c r="F69" s="473" t="str">
        <f>IF(LEFT(G66,3)="BAL",15,"")</f>
        <v/>
      </c>
      <c r="G69" s="467"/>
      <c r="H69" s="474" t="str">
        <f>IF(LEFT(I66,3)="BAL",15,"")</f>
        <v/>
      </c>
      <c r="I69" s="469"/>
      <c r="J69" s="474" t="str">
        <f>IF(LEFT(K66,3)="BAL",20,"")</f>
        <v/>
      </c>
      <c r="K69" s="469"/>
      <c r="L69" s="474" t="str">
        <f>IF(LEFT(M66,3)="BAL",25,"")</f>
        <v/>
      </c>
      <c r="M69" s="500"/>
      <c r="N69" s="459"/>
      <c r="O69" s="425" t="str">
        <f>IF(D69=0,"","Forests")</f>
        <v>Forests</v>
      </c>
      <c r="P69" s="425" t="str">
        <f>IF(F69=0,"","Forests")</f>
        <v>Forests</v>
      </c>
      <c r="Q69" s="425" t="str">
        <f>IF(H69=0,"","Forests")</f>
        <v>Forests</v>
      </c>
      <c r="R69" s="425" t="str">
        <f>IF(J69=0,"","Forests")</f>
        <v>Forests</v>
      </c>
      <c r="S69" s="425" t="str">
        <f>IF(L69=0,"","Forests")</f>
        <v>Forests</v>
      </c>
    </row>
    <row r="70" spans="1:20" s="461" customFormat="1" hidden="1" x14ac:dyDescent="0.25">
      <c r="A70" s="499"/>
      <c r="B70" s="470" t="s">
        <v>1334</v>
      </c>
      <c r="C70" s="471"/>
      <c r="D70" s="473" t="str">
        <f>IF(LEFT(E66,3)="BAL",10,"")</f>
        <v/>
      </c>
      <c r="E70" s="469"/>
      <c r="F70" s="473" t="str">
        <f>IF(LEFT(G66,3)="BAL",5,"")</f>
        <v/>
      </c>
      <c r="G70" s="467"/>
      <c r="H70" s="474" t="str">
        <f>IF(LEFT(I66,3)="BAL",15,"")</f>
        <v/>
      </c>
      <c r="I70" s="469"/>
      <c r="J70" s="474" t="str">
        <f>IF(LEFT(K66,3)="BAL",20,"")</f>
        <v/>
      </c>
      <c r="K70" s="469"/>
      <c r="L70" s="474" t="str">
        <f>IF(LEFT(M66,3)="BAL",20,"")</f>
        <v/>
      </c>
      <c r="M70" s="500"/>
      <c r="N70" s="459"/>
      <c r="O70" s="425" t="str">
        <f>IF(D70=0,"","Forests")</f>
        <v>Forests</v>
      </c>
      <c r="P70" s="425" t="str">
        <f>IF(F70=0,"","Forests")</f>
        <v>Forests</v>
      </c>
      <c r="Q70" s="425" t="str">
        <f>IF(H70=0,"","Forests")</f>
        <v>Forests</v>
      </c>
      <c r="R70" s="425" t="str">
        <f>IF(J70=0,"","Forests")</f>
        <v>Forests</v>
      </c>
      <c r="S70" s="425" t="str">
        <f>IF(L70=0,"","Forests")</f>
        <v>Forests</v>
      </c>
    </row>
    <row r="71" spans="1:20" s="461" customFormat="1" hidden="1" x14ac:dyDescent="0.25">
      <c r="A71" s="499"/>
      <c r="B71" s="464"/>
      <c r="C71" s="464"/>
      <c r="D71" s="444"/>
      <c r="E71" s="445"/>
      <c r="F71" s="444"/>
      <c r="G71" s="446"/>
      <c r="H71" s="447"/>
      <c r="I71" s="445"/>
      <c r="J71" s="447"/>
      <c r="K71" s="445"/>
      <c r="L71" s="447"/>
      <c r="M71" s="500"/>
      <c r="N71" s="459"/>
      <c r="O71" s="425"/>
      <c r="P71" s="425"/>
      <c r="Q71" s="425"/>
      <c r="R71" s="425"/>
      <c r="S71" s="425"/>
      <c r="T71" s="390" t="s">
        <v>1335</v>
      </c>
    </row>
    <row r="72" spans="1:20" s="461" customFormat="1" hidden="1" x14ac:dyDescent="0.25">
      <c r="A72" s="499"/>
      <c r="B72" s="470" t="s">
        <v>1336</v>
      </c>
      <c r="C72" s="471"/>
      <c r="D72" s="476" t="str">
        <f>IF(LEFT(E66,3)="BAL",15,"")</f>
        <v/>
      </c>
      <c r="E72" s="477"/>
      <c r="F72" s="478" t="str">
        <f>IF(LEFT(G66,3)="BAL",20,"")</f>
        <v/>
      </c>
      <c r="G72" s="467"/>
      <c r="H72" s="479" t="str">
        <f>IF(LEFT(I66,3)="BAL",25,"")</f>
        <v/>
      </c>
      <c r="I72" s="477"/>
      <c r="J72" s="479" t="str">
        <f>IF(LEFT(K66,3)="BAL",35,"")</f>
        <v/>
      </c>
      <c r="K72" s="477"/>
      <c r="L72" s="479" t="str">
        <f>IF(LEFT(M66,3)="BAL",40,"")</f>
        <v/>
      </c>
      <c r="M72" s="500"/>
      <c r="N72" s="459"/>
      <c r="O72" s="425" t="str">
        <f>IF(D72=0,"","Forests")</f>
        <v>Forests</v>
      </c>
      <c r="P72" s="425" t="str">
        <f>IF(F72=0,"","Forests")</f>
        <v>Forests</v>
      </c>
      <c r="Q72" s="425" t="str">
        <f>IF(H72=0,"","Forests")</f>
        <v>Forests</v>
      </c>
      <c r="R72" s="425" t="str">
        <f>IF(J72=0,"","Forests")</f>
        <v>Forests</v>
      </c>
      <c r="S72" s="425" t="str">
        <f>IF(L72=0,"","Forests")</f>
        <v>Forests</v>
      </c>
      <c r="T72" s="390"/>
    </row>
    <row r="73" spans="1:20" s="461" customFormat="1" hidden="1" x14ac:dyDescent="0.25">
      <c r="A73" s="499"/>
      <c r="B73" s="470" t="s">
        <v>1337</v>
      </c>
      <c r="C73" s="471"/>
      <c r="D73" s="480" t="str">
        <f>IF(LEFT(E66,3)="BAL",15,"")</f>
        <v/>
      </c>
      <c r="E73" s="477"/>
      <c r="F73" s="478" t="str">
        <f>IF(LEFT(G66,3)="BAL",20,"")</f>
        <v/>
      </c>
      <c r="G73" s="467"/>
      <c r="H73" s="479" t="str">
        <f>IF(LEFT(I66,3)="BAL",25,"")</f>
        <v/>
      </c>
      <c r="I73" s="477"/>
      <c r="J73" s="479" t="str">
        <f>IF(LEFT(K66,3)="BAL",35,"")</f>
        <v/>
      </c>
      <c r="K73" s="477"/>
      <c r="L73" s="479" t="str">
        <f>IF(LEFT(M66,3)="BAL",40,"")</f>
        <v/>
      </c>
      <c r="M73" s="500"/>
      <c r="N73" s="459"/>
      <c r="O73" s="425" t="str">
        <f>IF(D73=0,"","Forests")</f>
        <v>Forests</v>
      </c>
      <c r="P73" s="425" t="str">
        <f>IF(F73=0,"","Forests")</f>
        <v>Forests</v>
      </c>
      <c r="Q73" s="425" t="str">
        <f>IF(H73=0,"","Forests")</f>
        <v>Forests</v>
      </c>
      <c r="R73" s="425" t="str">
        <f>IF(J73=0,"","Forests")</f>
        <v>Forests</v>
      </c>
      <c r="S73" s="425" t="str">
        <f>IF(L73=0,"","Forests")</f>
        <v>Forests</v>
      </c>
      <c r="T73" s="390"/>
    </row>
    <row r="74" spans="1:20" s="461" customFormat="1" hidden="1" x14ac:dyDescent="0.25">
      <c r="A74" s="499"/>
      <c r="B74" s="470" t="s">
        <v>1338</v>
      </c>
      <c r="C74" s="471"/>
      <c r="D74" s="478" t="str">
        <f>IF(LEFT(E66,3)="BAL",0,"")</f>
        <v/>
      </c>
      <c r="E74" s="477"/>
      <c r="F74" s="478" t="str">
        <f>IF(LEFT(G66,3)="BAL",0,"")</f>
        <v/>
      </c>
      <c r="G74" s="467"/>
      <c r="H74" s="479" t="str">
        <f>IF(LEFT(I66,3)="BAL",0,"")</f>
        <v/>
      </c>
      <c r="I74" s="477"/>
      <c r="J74" s="479" t="str">
        <f>IF(LEFT(K66,3)="BAL",0,"")</f>
        <v/>
      </c>
      <c r="K74" s="477"/>
      <c r="L74" s="479" t="str">
        <f>IF(LEFT(M66,3)="BAL",0,"")</f>
        <v/>
      </c>
      <c r="M74" s="500"/>
      <c r="N74" s="459"/>
      <c r="O74" s="425" t="str">
        <f>IF(D74=0,"","Forests")</f>
        <v>Forests</v>
      </c>
      <c r="P74" s="425" t="str">
        <f>IF(F74=0,"","Forests")</f>
        <v>Forests</v>
      </c>
      <c r="Q74" s="425" t="str">
        <f>IF(H74=0,"","Forests")</f>
        <v>Forests</v>
      </c>
      <c r="R74" s="425" t="str">
        <f>IF(J74=0,"","Forests")</f>
        <v>Forests</v>
      </c>
      <c r="S74" s="425" t="str">
        <f>IF(L74=0,"","Forests")</f>
        <v>Forests</v>
      </c>
      <c r="T74" s="390"/>
    </row>
    <row r="75" spans="1:20" ht="5.25" customHeight="1" x14ac:dyDescent="0.25">
      <c r="A75" s="427"/>
      <c r="B75" s="443"/>
      <c r="C75" s="443"/>
      <c r="D75" s="444"/>
      <c r="E75" s="445"/>
      <c r="F75" s="444"/>
      <c r="G75" s="446"/>
      <c r="H75" s="447"/>
      <c r="I75" s="445"/>
      <c r="J75" s="447"/>
      <c r="K75" s="445"/>
      <c r="L75" s="447"/>
      <c r="M75" s="498"/>
      <c r="N75" s="433"/>
      <c r="O75" s="425" t="str">
        <f>IF(D75=0,"","Forests")</f>
        <v/>
      </c>
      <c r="P75" s="425" t="str">
        <f>IF(F75=0,"","Forests")</f>
        <v/>
      </c>
      <c r="Q75" s="425" t="str">
        <f>IF(H75=0,"","Forests")</f>
        <v/>
      </c>
      <c r="R75" s="425" t="str">
        <f>IF(J75=0,"","Forests")</f>
        <v/>
      </c>
      <c r="S75" s="425" t="str">
        <f>IF(L75=0,"","Forests")</f>
        <v/>
      </c>
      <c r="T75" s="390" t="s">
        <v>1335</v>
      </c>
    </row>
    <row r="76" spans="1:20" ht="18.75" x14ac:dyDescent="0.3">
      <c r="A76" s="427"/>
      <c r="B76" s="450" t="s">
        <v>1339</v>
      </c>
      <c r="C76" s="435"/>
      <c r="D76" s="452"/>
      <c r="E76" s="431" t="str">
        <f>IF(D76="&lt;10","BALFZ",IF(D76="10&lt;14","BAL40",IF(D76="14&lt;20","BAL29",IF(D76="20&lt;29","BAL19",IF(D76="29&lt;100","BAL12.5","")))))</f>
        <v/>
      </c>
      <c r="F76" s="452"/>
      <c r="G76" s="455" t="str">
        <f>IF(F76="&lt;13","BALFZ",IF(F76="13&lt;17","BAL40",IF(F76="17&lt;25","BAL29",IF(F76="25&lt;35","BAL19",IF(F76="35&lt;100","BAL12.5","")))))</f>
        <v/>
      </c>
      <c r="H76" s="456"/>
      <c r="I76" s="431" t="str">
        <f>IF(H76="&lt;16","BALFZ",IF(H76="16&lt;22","BAL40",IF(H76="22&lt;31","BAL29",IF(H76="31&lt;43","BAL19",IF(H76="43&lt;100","BAL12.5","")))))</f>
        <v/>
      </c>
      <c r="J76" s="456"/>
      <c r="K76" s="431" t="str">
        <f>IF(J76="&lt;21","BALFZ",IF(J76="21&lt;28","BAL40",IF(J76="28&lt;39","BAL29",IF(J76="39&lt;53","BAL19",IF(J76="53&lt;100","BAL12.5","")))))</f>
        <v/>
      </c>
      <c r="L76" s="456"/>
      <c r="M76" s="498" t="str">
        <f>IF(L76="&lt;27","BALFZ",IF(L76="27&lt;35","BAL40",IF(L76="35&lt;48","BAL29",IF(L76="48&lt;64","BAL19",IF(L76="64&lt;100","BAL12.5","")))))</f>
        <v/>
      </c>
      <c r="N76" s="433"/>
      <c r="O76" s="425" t="str">
        <f>IF(D76=0,"","Woodlands")</f>
        <v/>
      </c>
      <c r="P76" s="425" t="str">
        <f>IF(F76=0,"","Woodlands")</f>
        <v/>
      </c>
      <c r="Q76" s="425" t="str">
        <f>IF(H76=0,"","Woodlands")</f>
        <v/>
      </c>
      <c r="R76" s="425" t="str">
        <f>IF(J76=0,"","Woodlands")</f>
        <v/>
      </c>
      <c r="S76" s="425" t="str">
        <f>IF(L76=0,"","Woodlands")</f>
        <v/>
      </c>
      <c r="T76" s="390" t="s">
        <v>1340</v>
      </c>
    </row>
    <row r="77" spans="1:20" s="390" customFormat="1" ht="18.75" hidden="1" x14ac:dyDescent="0.3">
      <c r="A77" s="501"/>
      <c r="B77" s="502" t="s">
        <v>1331</v>
      </c>
      <c r="C77" s="503"/>
      <c r="D77" s="465" t="str">
        <f>E76</f>
        <v/>
      </c>
      <c r="E77" s="469"/>
      <c r="F77" s="465" t="str">
        <f>G76</f>
        <v/>
      </c>
      <c r="G77" s="467"/>
      <c r="H77" s="468" t="str">
        <f>I76</f>
        <v/>
      </c>
      <c r="I77" s="469"/>
      <c r="J77" s="468" t="str">
        <f>K76</f>
        <v/>
      </c>
      <c r="K77" s="469"/>
      <c r="L77" s="468" t="str">
        <f>M76</f>
        <v/>
      </c>
      <c r="M77" s="498"/>
      <c r="N77" s="433"/>
      <c r="O77" s="425" t="str">
        <f>IF(D77=0,"","Forests")</f>
        <v>Forests</v>
      </c>
      <c r="P77" s="425" t="str">
        <f>IF(F77=0,"","Forests")</f>
        <v>Forests</v>
      </c>
      <c r="Q77" s="425" t="str">
        <f>IF(H77=0,"","Forests")</f>
        <v>Forests</v>
      </c>
      <c r="R77" s="425" t="str">
        <f>IF(J77=0,"","Forests")</f>
        <v>Forests</v>
      </c>
      <c r="S77" s="425" t="str">
        <f>IF(L77=0,"","Forests")</f>
        <v>Forests</v>
      </c>
      <c r="T77" s="461"/>
    </row>
    <row r="78" spans="1:20" s="390" customFormat="1" hidden="1" x14ac:dyDescent="0.25">
      <c r="A78" s="501"/>
      <c r="B78" s="470" t="s">
        <v>1341</v>
      </c>
      <c r="C78" s="475"/>
      <c r="D78" s="472" t="str">
        <f>IF(LEFT(E76,3)="BAL",10,"")</f>
        <v/>
      </c>
      <c r="E78" s="469"/>
      <c r="F78" s="473" t="str">
        <f>IF(LEFT(G76,3)="BAL",15,"")</f>
        <v/>
      </c>
      <c r="G78" s="467"/>
      <c r="H78" s="474" t="str">
        <f>IF(LEFT(I76,3)="BAL",15,"")</f>
        <v/>
      </c>
      <c r="I78" s="469"/>
      <c r="J78" s="474" t="str">
        <f>IF(LEFT(K76,3)="BAL",20,"")</f>
        <v/>
      </c>
      <c r="K78" s="469"/>
      <c r="L78" s="474" t="str">
        <f>IF(LEFT(M76,3)="BAL",25,"")</f>
        <v/>
      </c>
      <c r="M78" s="498"/>
      <c r="N78" s="433"/>
      <c r="O78" s="425" t="str">
        <f>IF(D78=0,"","Forests")</f>
        <v>Forests</v>
      </c>
      <c r="P78" s="425" t="str">
        <f>IF(F78=0,"","Forests")</f>
        <v>Forests</v>
      </c>
      <c r="Q78" s="425" t="str">
        <f>IF(H78=0,"","Forests")</f>
        <v>Forests</v>
      </c>
      <c r="R78" s="425" t="str">
        <f>IF(J78=0,"","Forests")</f>
        <v>Forests</v>
      </c>
      <c r="S78" s="425" t="str">
        <f>IF(L78=0,"","Forests")</f>
        <v>Forests</v>
      </c>
      <c r="T78" s="461"/>
    </row>
    <row r="79" spans="1:20" s="390" customFormat="1" hidden="1" x14ac:dyDescent="0.25">
      <c r="A79" s="501"/>
      <c r="B79" s="470" t="s">
        <v>1342</v>
      </c>
      <c r="C79" s="475"/>
      <c r="D79" s="473" t="str">
        <f>IF(LEFT(E76,3)="BAL",10,"")</f>
        <v/>
      </c>
      <c r="E79" s="469"/>
      <c r="F79" s="473" t="str">
        <f>IF(LEFT(G76,3)="BAL",15,"")</f>
        <v/>
      </c>
      <c r="G79" s="467"/>
      <c r="H79" s="474" t="str">
        <f>IF(LEFT(I76,3)="BAL",15,"")</f>
        <v/>
      </c>
      <c r="I79" s="469"/>
      <c r="J79" s="474" t="str">
        <f>IF(LEFT(K76,3)="BAL",20,"")</f>
        <v/>
      </c>
      <c r="K79" s="469"/>
      <c r="L79" s="474" t="str">
        <f>IF(LEFT(M76,3)="BAL",25,"")</f>
        <v/>
      </c>
      <c r="M79" s="498"/>
      <c r="N79" s="433"/>
      <c r="O79" s="425" t="str">
        <f>IF(D79=0,"","Forests")</f>
        <v>Forests</v>
      </c>
      <c r="P79" s="425" t="str">
        <f>IF(F79=0,"","Forests")</f>
        <v>Forests</v>
      </c>
      <c r="Q79" s="425" t="str">
        <f>IF(H79=0,"","Forests")</f>
        <v>Forests</v>
      </c>
      <c r="R79" s="425" t="str">
        <f>IF(J79=0,"","Forests")</f>
        <v>Forests</v>
      </c>
      <c r="S79" s="425" t="str">
        <f>IF(L79=0,"","Forests")</f>
        <v>Forests</v>
      </c>
      <c r="T79" s="461"/>
    </row>
    <row r="80" spans="1:20" s="390" customFormat="1" hidden="1" x14ac:dyDescent="0.25">
      <c r="A80" s="501"/>
      <c r="B80" s="470" t="s">
        <v>1343</v>
      </c>
      <c r="C80" s="475"/>
      <c r="D80" s="473" t="str">
        <f>IF(LEFT(E76,3)="BAL",0,"")</f>
        <v/>
      </c>
      <c r="E80" s="469"/>
      <c r="F80" s="473" t="str">
        <f>IF(LEFT(G76,3)="BAL",0,"")</f>
        <v/>
      </c>
      <c r="G80" s="467"/>
      <c r="H80" s="474" t="str">
        <f>IF(LEFT(I76,3)="BAL",0,"")</f>
        <v/>
      </c>
      <c r="I80" s="469"/>
      <c r="J80" s="474" t="str">
        <f>IF(LEFT(K76,3)="BAL",0,"")</f>
        <v/>
      </c>
      <c r="K80" s="469"/>
      <c r="L80" s="474" t="str">
        <f>IF(LEFT(M76,3)="BAL",0,"")</f>
        <v/>
      </c>
      <c r="M80" s="498"/>
      <c r="N80" s="433"/>
      <c r="O80" s="425" t="str">
        <f>IF(D80=0,"","Forests")</f>
        <v>Forests</v>
      </c>
      <c r="P80" s="425" t="str">
        <f>IF(F80=0,"","Forests")</f>
        <v>Forests</v>
      </c>
      <c r="Q80" s="425" t="str">
        <f>IF(H80=0,"","Forests")</f>
        <v>Forests</v>
      </c>
      <c r="R80" s="425" t="str">
        <f>IF(J80=0,"","Forests")</f>
        <v>Forests</v>
      </c>
      <c r="S80" s="425" t="str">
        <f>IF(L80=0,"","Forests")</f>
        <v>Forests</v>
      </c>
      <c r="T80" s="461"/>
    </row>
    <row r="81" spans="1:20" ht="6" customHeight="1" x14ac:dyDescent="0.25">
      <c r="A81" s="427"/>
      <c r="B81" s="443"/>
      <c r="C81" s="443"/>
      <c r="D81" s="444"/>
      <c r="E81" s="445"/>
      <c r="F81" s="444"/>
      <c r="G81" s="446"/>
      <c r="H81" s="447"/>
      <c r="I81" s="445"/>
      <c r="J81" s="447"/>
      <c r="K81" s="445"/>
      <c r="L81" s="447"/>
      <c r="M81" s="498"/>
      <c r="N81" s="433"/>
      <c r="O81" s="425"/>
      <c r="P81" s="425"/>
      <c r="Q81" s="425"/>
      <c r="R81" s="425"/>
      <c r="S81" s="425"/>
      <c r="T81" s="390" t="s">
        <v>1344</v>
      </c>
    </row>
    <row r="82" spans="1:20" ht="18.75" x14ac:dyDescent="0.3">
      <c r="A82" s="427"/>
      <c r="B82" s="450" t="s">
        <v>1345</v>
      </c>
      <c r="C82" s="435"/>
      <c r="D82" s="452"/>
      <c r="E82" s="431" t="str">
        <f>IF(D82="&lt;7","BALFZ",IF(D82="7&lt;9","BAL40",IF(D82="9&lt;13","BAL29",IF(D82="13&lt;19","BAL19",IF(D82="19&lt;100","BAL12.5","")))))</f>
        <v/>
      </c>
      <c r="F82" s="452"/>
      <c r="G82" s="455" t="str">
        <f>IF(F82="&lt;7","BALFZ",IF(F82="7&lt;10","BAL40",IF(F82="10&lt;15","BAL29",IF(F82="15&lt;22","BAL19",IF(F82="22&lt;100","BAL12.5","")))))</f>
        <v/>
      </c>
      <c r="H82" s="456"/>
      <c r="I82" s="431" t="str">
        <f>IF(H82="&lt;8","BALFZ",IF(H82="8&lt;11","BAL40",IF(H82="11&lt;17","BAL29",IF(H82="17&lt;25","BAL19",IF(H82="25&lt;100","BAL12.5","")))))</f>
        <v/>
      </c>
      <c r="J82" s="456"/>
      <c r="K82" s="431" t="str">
        <f>IF(J82="&lt;9","BALFZ",IF(J82="9&lt;13","BAL40",IF(J82="13&lt;19","BAL29",IF(J82="19&lt;28","BAL19",IF(J82="28&lt;100","BAL12.5","")))))</f>
        <v/>
      </c>
      <c r="L82" s="456"/>
      <c r="M82" s="498" t="str">
        <f>IF(L82="&lt;10","BALFZ",IF(L82="10&lt;15","BAL40",IF(L82="15&lt;22","BAL29",IF(L82="22&lt;31","BAL19",IF(L82="31&lt;100","BAL12.5","")))))</f>
        <v/>
      </c>
      <c r="N82" s="433"/>
      <c r="O82" s="425" t="str">
        <f>IF(D82=0,"","Shrubland")</f>
        <v/>
      </c>
      <c r="P82" s="425" t="str">
        <f>IF(F82=0,"","Shrubland")</f>
        <v/>
      </c>
      <c r="Q82" s="425" t="str">
        <f>IF(H82=0,"","Shrubland")</f>
        <v/>
      </c>
      <c r="R82" s="425" t="str">
        <f>IF(J82=0,"","Shrubland")</f>
        <v/>
      </c>
      <c r="S82" s="425" t="str">
        <f>IF(L82=0,"","Shrubland")</f>
        <v/>
      </c>
      <c r="T82" s="390" t="s">
        <v>1346</v>
      </c>
    </row>
    <row r="83" spans="1:20" s="461" customFormat="1" ht="18.75" hidden="1" x14ac:dyDescent="0.3">
      <c r="A83" s="499"/>
      <c r="B83" s="463" t="s">
        <v>1331</v>
      </c>
      <c r="C83" s="464"/>
      <c r="D83" s="465" t="str">
        <f>E82</f>
        <v/>
      </c>
      <c r="E83" s="469"/>
      <c r="F83" s="465" t="str">
        <f>G82</f>
        <v/>
      </c>
      <c r="G83" s="467"/>
      <c r="H83" s="468" t="str">
        <f>I82</f>
        <v/>
      </c>
      <c r="I83" s="469"/>
      <c r="J83" s="468" t="str">
        <f>K82</f>
        <v/>
      </c>
      <c r="K83" s="469"/>
      <c r="L83" s="468" t="str">
        <f>M82</f>
        <v/>
      </c>
      <c r="M83" s="500"/>
      <c r="N83" s="459"/>
      <c r="O83" s="425" t="str">
        <f>IF(D83=0,"","Forests")</f>
        <v>Forests</v>
      </c>
      <c r="P83" s="425" t="str">
        <f>IF(F83=0,"","Forests")</f>
        <v>Forests</v>
      </c>
      <c r="Q83" s="425" t="str">
        <f>IF(H83=0,"","Forests")</f>
        <v>Forests</v>
      </c>
      <c r="R83" s="425" t="str">
        <f>IF(J83=0,"","Forests")</f>
        <v>Forests</v>
      </c>
      <c r="S83" s="425" t="str">
        <f>IF(L83=0,"","Forests")</f>
        <v>Forests</v>
      </c>
    </row>
    <row r="84" spans="1:20" s="461" customFormat="1" hidden="1" x14ac:dyDescent="0.25">
      <c r="A84" s="499"/>
      <c r="B84" s="470" t="s">
        <v>1347</v>
      </c>
      <c r="C84" s="471"/>
      <c r="D84" s="473" t="str">
        <f>IF(LEFT(E82,3)="BAL",10,"")</f>
        <v/>
      </c>
      <c r="E84" s="469"/>
      <c r="F84" s="473" t="str">
        <f>IF(LEFT(G82,3)="BAL",10,"")</f>
        <v/>
      </c>
      <c r="G84" s="467"/>
      <c r="H84" s="474" t="str">
        <f>IF(LEFT(I82,3)="BAL",10,"")</f>
        <v/>
      </c>
      <c r="I84" s="469"/>
      <c r="J84" s="474" t="str">
        <f>IF(LEFT(K82,3)="BAL",10,"")</f>
        <v/>
      </c>
      <c r="K84" s="469"/>
      <c r="L84" s="474" t="str">
        <f>IF(LEFT(M82,3)="BAL",15,"")</f>
        <v/>
      </c>
      <c r="M84" s="500"/>
      <c r="N84" s="459"/>
      <c r="O84" s="425" t="str">
        <f>IF(D84=0,"","Forests")</f>
        <v>Forests</v>
      </c>
      <c r="P84" s="425" t="str">
        <f>IF(F84=0,"","Forests")</f>
        <v>Forests</v>
      </c>
      <c r="Q84" s="425" t="str">
        <f>IF(H84=0,"","Forests")</f>
        <v>Forests</v>
      </c>
      <c r="R84" s="425" t="str">
        <f>IF(J84=0,"","Forests")</f>
        <v>Forests</v>
      </c>
      <c r="S84" s="425" t="str">
        <f>IF(L84=0,"","Forests")</f>
        <v>Forests</v>
      </c>
    </row>
    <row r="85" spans="1:20" s="461" customFormat="1" hidden="1" x14ac:dyDescent="0.25">
      <c r="A85" s="499"/>
      <c r="B85" s="470" t="s">
        <v>1342</v>
      </c>
      <c r="C85" s="471"/>
      <c r="D85" s="473" t="str">
        <f>IF(LEFT(E82,3)="BAL",10,"")</f>
        <v/>
      </c>
      <c r="E85" s="469"/>
      <c r="F85" s="473" t="str">
        <f>IF(LEFT(G82,3)="BAL",10,"")</f>
        <v/>
      </c>
      <c r="G85" s="467"/>
      <c r="H85" s="474" t="str">
        <f>IF(LEFT(I82,3)="BAL",10,"")</f>
        <v/>
      </c>
      <c r="I85" s="469"/>
      <c r="J85" s="474" t="str">
        <f>IF(LEFT(K82,3)="BAL",10,"")</f>
        <v/>
      </c>
      <c r="K85" s="469"/>
      <c r="L85" s="474" t="str">
        <f>IF(LEFT(M82,3)="BAL",15,"")</f>
        <v/>
      </c>
      <c r="M85" s="500"/>
      <c r="N85" s="459"/>
      <c r="O85" s="425" t="str">
        <f>IF(D85=0,"","Forests")</f>
        <v>Forests</v>
      </c>
      <c r="P85" s="425" t="str">
        <f>IF(F85=0,"","Forests")</f>
        <v>Forests</v>
      </c>
      <c r="Q85" s="425" t="str">
        <f>IF(H85=0,"","Forests")</f>
        <v>Forests</v>
      </c>
      <c r="R85" s="425" t="str">
        <f>IF(J85=0,"","Forests")</f>
        <v>Forests</v>
      </c>
      <c r="S85" s="425" t="str">
        <f>IF(L85=0,"","Forests")</f>
        <v>Forests</v>
      </c>
    </row>
    <row r="86" spans="1:20" s="461" customFormat="1" hidden="1" x14ac:dyDescent="0.25">
      <c r="A86" s="499"/>
      <c r="B86" s="470" t="s">
        <v>1343</v>
      </c>
      <c r="C86" s="471"/>
      <c r="D86" s="473" t="str">
        <f>IF(LEFT(E82,3)="BAL",0,"")</f>
        <v/>
      </c>
      <c r="E86" s="469"/>
      <c r="F86" s="473" t="str">
        <f>IF(LEFT(G82,3)="BAL",0,"")</f>
        <v/>
      </c>
      <c r="G86" s="467"/>
      <c r="H86" s="474" t="str">
        <f>IF(LEFT(I82,3)="BAL",0,"")</f>
        <v/>
      </c>
      <c r="I86" s="469"/>
      <c r="J86" s="474" t="str">
        <f>IF(LEFT(K82,3)="BAL",0,"")</f>
        <v/>
      </c>
      <c r="K86" s="469"/>
      <c r="L86" s="474" t="str">
        <f>IF(LEFT(M82,3)="BAL",0,"")</f>
        <v/>
      </c>
      <c r="M86" s="500"/>
      <c r="N86" s="459"/>
      <c r="O86" s="425" t="str">
        <f>IF(D86=0,"","Forests")</f>
        <v>Forests</v>
      </c>
      <c r="P86" s="425" t="str">
        <f>IF(F86=0,"","Forests")</f>
        <v>Forests</v>
      </c>
      <c r="Q86" s="425" t="str">
        <f>IF(H86=0,"","Forests")</f>
        <v>Forests</v>
      </c>
      <c r="R86" s="425" t="str">
        <f>IF(J86=0,"","Forests")</f>
        <v>Forests</v>
      </c>
      <c r="S86" s="425" t="str">
        <f>IF(L86=0,"","Forests")</f>
        <v>Forests</v>
      </c>
    </row>
    <row r="87" spans="1:20" ht="6" customHeight="1" x14ac:dyDescent="0.25">
      <c r="A87" s="427"/>
      <c r="B87" s="443"/>
      <c r="C87" s="443"/>
      <c r="D87" s="444"/>
      <c r="E87" s="445"/>
      <c r="F87" s="444"/>
      <c r="G87" s="446"/>
      <c r="H87" s="447"/>
      <c r="I87" s="445"/>
      <c r="J87" s="447"/>
      <c r="K87" s="445"/>
      <c r="L87" s="447"/>
      <c r="M87" s="498"/>
      <c r="N87" s="433"/>
      <c r="O87" s="425"/>
      <c r="P87" s="425"/>
      <c r="Q87" s="425"/>
      <c r="R87" s="425"/>
      <c r="S87" s="425"/>
    </row>
    <row r="88" spans="1:20" ht="18.75" x14ac:dyDescent="0.3">
      <c r="A88" s="427"/>
      <c r="B88" s="450" t="s">
        <v>1348</v>
      </c>
      <c r="C88" s="435"/>
      <c r="D88" s="452"/>
      <c r="E88" s="431" t="str">
        <f>IF(D88="&lt;10","BALFZ",IF(D88="10&lt;13","BAL40",IF(D88="13&lt;19","BAL29",IF(D88="19&lt;27","BAL19",IF(D88="27&lt;100","BAL12.5","")))))</f>
        <v/>
      </c>
      <c r="F88" s="452"/>
      <c r="G88" s="455" t="str">
        <f>IF(F88="&lt;11","BALFZ",IF(F88="11&lt;15","BAL40",IF(F88="15&lt;22","BAL29",IF(F88="22&lt;31","BAL19",IF(F88="31&lt;100","BAL12.5","")))))</f>
        <v/>
      </c>
      <c r="H88" s="456"/>
      <c r="I88" s="431" t="str">
        <f>IF(H88="&lt;12","BALFZ",IF(H88="12&lt;17","BAL40",IF(H88="17&lt;24","BAL29",IF(H88="24&lt;35","BAL19",IF(H88="35&lt;100","BAL12.5","")))))</f>
        <v/>
      </c>
      <c r="J88" s="456"/>
      <c r="K88" s="431" t="str">
        <f>IF(J88="&lt;14","BALFZ",IF(J88="14&lt;19","BAL40",IF(J88="19&lt;28","BAL29",IF(J88="28&lt;39","BAL19",IF(J88="39&lt;100","BAL12.5","")))))</f>
        <v/>
      </c>
      <c r="L88" s="456"/>
      <c r="M88" s="498" t="str">
        <f>IF(L88="&lt;15","BALFZ",IF(L88="15&lt;21","BAL40",IF(L88="21&lt;31","BAL29",IF(L88="31&lt;43","BAL19",IF(L88="43&lt;100","BAL12.5","")))))</f>
        <v/>
      </c>
      <c r="N88" s="433"/>
      <c r="O88" s="425" t="str">
        <f>IF(D88=0,"","Scrub")</f>
        <v/>
      </c>
      <c r="P88" s="425" t="str">
        <f>IF(F88=0,"","Scrub")</f>
        <v/>
      </c>
      <c r="Q88" s="425" t="str">
        <f>IF(H88=0,"","Scrub")</f>
        <v/>
      </c>
      <c r="R88" s="425" t="str">
        <f>IF(J88=0,"","Scrub")</f>
        <v/>
      </c>
      <c r="S88" s="425" t="str">
        <f>IF(L88=0,"","Scrub")</f>
        <v/>
      </c>
    </row>
    <row r="89" spans="1:20" s="390" customFormat="1" ht="18.75" hidden="1" x14ac:dyDescent="0.3">
      <c r="A89" s="501"/>
      <c r="B89" s="463" t="s">
        <v>1331</v>
      </c>
      <c r="C89" s="503"/>
      <c r="D89" s="465" t="str">
        <f>E88</f>
        <v/>
      </c>
      <c r="E89" s="469"/>
      <c r="F89" s="465" t="str">
        <f>G88</f>
        <v/>
      </c>
      <c r="G89" s="467"/>
      <c r="H89" s="468" t="str">
        <f>I88</f>
        <v/>
      </c>
      <c r="I89" s="469"/>
      <c r="J89" s="468" t="str">
        <f>K88</f>
        <v/>
      </c>
      <c r="K89" s="469"/>
      <c r="L89" s="468" t="str">
        <f>M88</f>
        <v/>
      </c>
      <c r="M89" s="498"/>
      <c r="N89" s="433"/>
      <c r="O89" s="425" t="str">
        <f>IF(D89=0,"","Forests")</f>
        <v>Forests</v>
      </c>
      <c r="P89" s="425" t="str">
        <f>IF(F89=0,"","Forests")</f>
        <v>Forests</v>
      </c>
      <c r="Q89" s="425" t="str">
        <f>IF(H89=0,"","Forests")</f>
        <v>Forests</v>
      </c>
      <c r="R89" s="425" t="str">
        <f>IF(J89=0,"","Forests")</f>
        <v>Forests</v>
      </c>
      <c r="S89" s="425" t="str">
        <f>IF(L89=0,"","Forests")</f>
        <v>Forests</v>
      </c>
    </row>
    <row r="90" spans="1:20" s="390" customFormat="1" hidden="1" x14ac:dyDescent="0.25">
      <c r="A90" s="501"/>
      <c r="B90" s="470" t="s">
        <v>1349</v>
      </c>
      <c r="C90" s="475"/>
      <c r="D90" s="472" t="str">
        <f>IF(LEFT(E88,3)="BAL",15,"")</f>
        <v/>
      </c>
      <c r="E90" s="469"/>
      <c r="F90" s="473" t="str">
        <f>IF(LEFT(G88,3)="BAL",15,"")</f>
        <v/>
      </c>
      <c r="G90" s="467"/>
      <c r="H90" s="474" t="str">
        <f>IF(LEFT(I88,3)="BAL",20,"")</f>
        <v/>
      </c>
      <c r="I90" s="469"/>
      <c r="J90" s="474" t="str">
        <f>IF(LEFT(K88,3)="BAL",20,"")</f>
        <v/>
      </c>
      <c r="K90" s="469"/>
      <c r="L90" s="474" t="str">
        <f>IF(LEFT(M88,3)="BAL",20,"")</f>
        <v/>
      </c>
      <c r="M90" s="498"/>
      <c r="N90" s="433"/>
      <c r="O90" s="425" t="str">
        <f>IF(D90=0,"","Forests")</f>
        <v>Forests</v>
      </c>
      <c r="P90" s="425" t="str">
        <f>IF(F90=0,"","Forests")</f>
        <v>Forests</v>
      </c>
      <c r="Q90" s="425" t="str">
        <f>IF(H90=0,"","Forests")</f>
        <v>Forests</v>
      </c>
      <c r="R90" s="425" t="str">
        <f>IF(J90=0,"","Forests")</f>
        <v>Forests</v>
      </c>
      <c r="S90" s="425" t="str">
        <f>IF(L90=0,"","Forests")</f>
        <v>Forests</v>
      </c>
    </row>
    <row r="91" spans="1:20" s="390" customFormat="1" hidden="1" x14ac:dyDescent="0.25">
      <c r="A91" s="501"/>
      <c r="B91" s="470" t="s">
        <v>1350</v>
      </c>
      <c r="C91" s="475"/>
      <c r="D91" s="473" t="str">
        <f>IF(LEFT(E88,3)="BAL",15,"")</f>
        <v/>
      </c>
      <c r="E91" s="469"/>
      <c r="F91" s="473" t="str">
        <f>IF(LEFT(G88,3)="BAL",15,"")</f>
        <v/>
      </c>
      <c r="G91" s="467"/>
      <c r="H91" s="474" t="str">
        <f>IF(LEFT(I88,3)="BAL",20,"")</f>
        <v/>
      </c>
      <c r="I91" s="469"/>
      <c r="J91" s="474" t="str">
        <f>IF(LEFT(K88,3)="BAL",20,"")</f>
        <v/>
      </c>
      <c r="K91" s="469"/>
      <c r="L91" s="474" t="str">
        <f>IF(LEFT(M88,3)="BAL",20,"")</f>
        <v/>
      </c>
      <c r="M91" s="498"/>
      <c r="N91" s="433"/>
      <c r="O91" s="425" t="str">
        <f>IF(D91=0,"","Forests")</f>
        <v>Forests</v>
      </c>
      <c r="P91" s="425" t="str">
        <f>IF(F91=0,"","Forests")</f>
        <v>Forests</v>
      </c>
      <c r="Q91" s="425" t="str">
        <f>IF(H91=0,"","Forests")</f>
        <v>Forests</v>
      </c>
      <c r="R91" s="425" t="str">
        <f>IF(J91=0,"","Forests")</f>
        <v>Forests</v>
      </c>
      <c r="S91" s="425" t="str">
        <f>IF(L91=0,"","Forests")</f>
        <v>Forests</v>
      </c>
    </row>
    <row r="92" spans="1:20" s="390" customFormat="1" hidden="1" x14ac:dyDescent="0.25">
      <c r="A92" s="501"/>
      <c r="B92" s="470" t="s">
        <v>1351</v>
      </c>
      <c r="C92" s="475"/>
      <c r="D92" s="473" t="str">
        <f>IF(LEFT(E88,3)="BAL",0,"")</f>
        <v/>
      </c>
      <c r="E92" s="469"/>
      <c r="F92" s="473" t="str">
        <f>IF(LEFT(G88,3)="BAL",0,"")</f>
        <v/>
      </c>
      <c r="G92" s="467"/>
      <c r="H92" s="474" t="str">
        <f>IF(LEFT(I88,3)="BAL",0,"")</f>
        <v/>
      </c>
      <c r="I92" s="469"/>
      <c r="J92" s="474" t="str">
        <f>IF(LEFT(K88,3)="BAL",0,"")</f>
        <v/>
      </c>
      <c r="K92" s="469"/>
      <c r="L92" s="474" t="str">
        <f>IF(LEFT(M88,3)="BAL",0,"")</f>
        <v/>
      </c>
      <c r="M92" s="498"/>
      <c r="N92" s="433"/>
      <c r="O92" s="425" t="str">
        <f>IF(D92=0,"","Forests")</f>
        <v>Forests</v>
      </c>
      <c r="P92" s="425" t="str">
        <f>IF(F92=0,"","Forests")</f>
        <v>Forests</v>
      </c>
      <c r="Q92" s="425" t="str">
        <f>IF(H92=0,"","Forests")</f>
        <v>Forests</v>
      </c>
      <c r="R92" s="425" t="str">
        <f>IF(J92=0,"","Forests")</f>
        <v>Forests</v>
      </c>
      <c r="S92" s="425" t="str">
        <f>IF(L92=0,"","Forests")</f>
        <v>Forests</v>
      </c>
    </row>
    <row r="93" spans="1:20" ht="6" customHeight="1" x14ac:dyDescent="0.3">
      <c r="A93" s="427"/>
      <c r="B93" s="504"/>
      <c r="C93" s="504"/>
      <c r="D93" s="505"/>
      <c r="E93" s="506"/>
      <c r="F93" s="505"/>
      <c r="G93" s="507"/>
      <c r="H93" s="508"/>
      <c r="I93" s="506"/>
      <c r="J93" s="508"/>
      <c r="K93" s="506"/>
      <c r="L93" s="508"/>
      <c r="M93" s="498"/>
      <c r="N93" s="433"/>
      <c r="O93" s="425"/>
      <c r="P93" s="425"/>
      <c r="Q93" s="425"/>
      <c r="R93" s="425"/>
      <c r="S93" s="425"/>
    </row>
    <row r="94" spans="1:20" hidden="1" x14ac:dyDescent="0.25">
      <c r="A94" s="509"/>
      <c r="B94" s="510" t="s">
        <v>1352</v>
      </c>
      <c r="C94" s="511"/>
      <c r="D94" s="473" t="str">
        <f>IF(LEFT(E88,3)="BAL",10,"")</f>
        <v/>
      </c>
      <c r="E94" s="469"/>
      <c r="F94" s="473" t="str">
        <f>IF(LEFT(G88,3)="BAL",10,"")</f>
        <v/>
      </c>
      <c r="G94" s="467"/>
      <c r="H94" s="474" t="str">
        <f>IF(LEFT(I88,3)="BAL",10,"")</f>
        <v/>
      </c>
      <c r="I94" s="469"/>
      <c r="J94" s="474" t="str">
        <f>IF(LEFT(K88,3)="BAL",15,"")</f>
        <v/>
      </c>
      <c r="K94" s="469"/>
      <c r="L94" s="474" t="str">
        <f>IF(LEFT(M88,3)="BAL",15,"")</f>
        <v/>
      </c>
      <c r="M94" s="498"/>
      <c r="N94" s="433"/>
      <c r="O94" s="425" t="str">
        <f>IF(D94=0,"","Forests")</f>
        <v>Forests</v>
      </c>
      <c r="P94" s="425" t="str">
        <f>IF(F94=0,"","Forests")</f>
        <v>Forests</v>
      </c>
      <c r="Q94" s="425" t="str">
        <f>IF(H94=0,"","Forests")</f>
        <v>Forests</v>
      </c>
      <c r="R94" s="425" t="str">
        <f>IF(J94=0,"","Forests")</f>
        <v>Forests</v>
      </c>
      <c r="S94" s="425" t="str">
        <f>IF(L94=0,"","Forests")</f>
        <v>Forests</v>
      </c>
    </row>
    <row r="95" spans="1:20" hidden="1" x14ac:dyDescent="0.25">
      <c r="A95" s="509"/>
      <c r="B95" s="512" t="s">
        <v>1353</v>
      </c>
      <c r="C95" s="511"/>
      <c r="D95" s="473" t="str">
        <f>IF(LEFT(E88,3)="BAL",10,"")</f>
        <v/>
      </c>
      <c r="E95" s="469"/>
      <c r="F95" s="473" t="str">
        <f>IF(LEFT(G88,3)="BAL",10,"")</f>
        <v/>
      </c>
      <c r="G95" s="467"/>
      <c r="H95" s="474" t="str">
        <f>IF(LEFT(I88,3)="BAL",10,"")</f>
        <v/>
      </c>
      <c r="I95" s="469"/>
      <c r="J95" s="474" t="str">
        <f>IF(LEFT(K88,3)="BAL",15,"")</f>
        <v/>
      </c>
      <c r="K95" s="469"/>
      <c r="L95" s="474" t="str">
        <f>IF(LEFT(M88,3)="BAL",15,"")</f>
        <v/>
      </c>
      <c r="M95" s="498"/>
      <c r="N95" s="433"/>
      <c r="O95" s="425" t="str">
        <f>IF(D95=0,"","Forests")</f>
        <v>Forests</v>
      </c>
      <c r="P95" s="425" t="str">
        <f>IF(F95=0,"","Forests")</f>
        <v>Forests</v>
      </c>
      <c r="Q95" s="425" t="str">
        <f>IF(H95=0,"","Forests")</f>
        <v>Forests</v>
      </c>
      <c r="R95" s="425" t="str">
        <f>IF(J95=0,"","Forests")</f>
        <v>Forests</v>
      </c>
      <c r="S95" s="425" t="str">
        <f>IF(L95=0,"","Forests")</f>
        <v>Forests</v>
      </c>
    </row>
    <row r="96" spans="1:20" hidden="1" x14ac:dyDescent="0.25">
      <c r="A96" s="509"/>
      <c r="B96" s="513" t="s">
        <v>1354</v>
      </c>
      <c r="C96" s="511"/>
      <c r="D96" s="473" t="str">
        <f>IF(LEFT(E88,3)="BAL",0,"")</f>
        <v/>
      </c>
      <c r="E96" s="469"/>
      <c r="F96" s="473" t="str">
        <f>IF(LEFT(G88,3)="BAL",0,"")</f>
        <v/>
      </c>
      <c r="G96" s="467"/>
      <c r="H96" s="474" t="str">
        <f>IF(LEFT(I88,3)="BAL",0,"")</f>
        <v/>
      </c>
      <c r="I96" s="469"/>
      <c r="J96" s="474" t="str">
        <f>IF(LEFT(K88,3)="BAL",0,"")</f>
        <v/>
      </c>
      <c r="K96" s="469"/>
      <c r="L96" s="474" t="str">
        <f>IF(LEFT(M88,3)="BAL",0,"")</f>
        <v/>
      </c>
      <c r="M96" s="498"/>
      <c r="N96" s="433"/>
      <c r="O96" s="425" t="str">
        <f>IF(D96=0,"","Forests")</f>
        <v>Forests</v>
      </c>
      <c r="P96" s="425" t="str">
        <f>IF(F96=0,"","Forests")</f>
        <v>Forests</v>
      </c>
      <c r="Q96" s="425" t="str">
        <f>IF(H96=0,"","Forests")</f>
        <v>Forests</v>
      </c>
      <c r="R96" s="425" t="str">
        <f>IF(J96=0,"","Forests")</f>
        <v>Forests</v>
      </c>
      <c r="S96" s="425" t="str">
        <f>IF(L96=0,"","Forests")</f>
        <v>Forests</v>
      </c>
    </row>
    <row r="97" spans="1:25" hidden="1" x14ac:dyDescent="0.25">
      <c r="A97" s="509"/>
      <c r="B97" s="514"/>
      <c r="C97" s="514"/>
      <c r="D97" s="444"/>
      <c r="E97" s="445"/>
      <c r="F97" s="444"/>
      <c r="G97" s="446"/>
      <c r="H97" s="447"/>
      <c r="I97" s="445"/>
      <c r="J97" s="447"/>
      <c r="K97" s="445"/>
      <c r="L97" s="447"/>
      <c r="M97" s="498"/>
      <c r="N97" s="433"/>
      <c r="O97" s="425" t="str">
        <f>IF(D97=0,"","Forests")</f>
        <v/>
      </c>
      <c r="P97" s="425" t="str">
        <f>IF(F97=0,"","Forests")</f>
        <v/>
      </c>
      <c r="Q97" s="425" t="str">
        <f>IF(H97=0,"","Forests")</f>
        <v/>
      </c>
      <c r="R97" s="425" t="str">
        <f>IF(J97=0,"","Forests")</f>
        <v/>
      </c>
      <c r="S97" s="425" t="str">
        <f>IF(L97=0,"","Forests")</f>
        <v/>
      </c>
    </row>
    <row r="98" spans="1:25" ht="18.75" x14ac:dyDescent="0.3">
      <c r="A98" s="427"/>
      <c r="B98" s="450" t="s">
        <v>1355</v>
      </c>
      <c r="C98" s="435"/>
      <c r="D98" s="452"/>
      <c r="E98" s="431" t="str">
        <f>IF(D98="&lt;6","BALFZ",IF(D98="6&lt;8","BAL40",IF(D98="8&lt;12","BAL29",IF(D98="13&lt;17","BAL19",IF(D98="17&lt;50","BAL12.5","")))))</f>
        <v/>
      </c>
      <c r="F98" s="452"/>
      <c r="G98" s="455" t="str">
        <f>IF(F98="&lt;7","BALFZ",IF(F98="7&lt;9","BAL40",IF(F98="9&lt;14","BAL29",IF(F98="14&lt;20","BAL19",IF(F98="20&lt;50","BAL12.5","")))))</f>
        <v/>
      </c>
      <c r="H98" s="456"/>
      <c r="I98" s="431" t="str">
        <f>IF(H98="&lt;8","BALFZ",IF(H98="8&lt;10","BAL40",IF(H98="10&lt;16","BAL29",IF(H98="16&lt;23","BAL19",IF(H98="23&lt;50","BAL12.5","")))))</f>
        <v/>
      </c>
      <c r="J98" s="456"/>
      <c r="K98" s="431" t="str">
        <f>IF(J98="&lt;9","BALFZ",IF(J98="9&lt;12","BAL40",IF(J98="12&lt;18","BAL29",IF(J98="18&lt;26","BAL19",IF(J98="26&lt;50","BAL12.5","")))))</f>
        <v/>
      </c>
      <c r="L98" s="456"/>
      <c r="M98" s="498" t="str">
        <f>IF(L98="&lt;10","BALFZ",IF(L98="10&lt;14","BAL40",IF(L98="14&lt;21","BAL29",IF(L98="21&lt;30","BAL19",IF(L98="30&lt;50","BAL12.5","")))))</f>
        <v/>
      </c>
      <c r="N98" s="433"/>
      <c r="O98" s="425" t="str">
        <f>IF(D98=0,"","Grassland")</f>
        <v/>
      </c>
      <c r="P98" s="425" t="str">
        <f>IF(F98=0,"","Grassland")</f>
        <v/>
      </c>
      <c r="Q98" s="425" t="str">
        <f>IF(H98=0,"","Grassland")</f>
        <v/>
      </c>
      <c r="R98" s="425" t="str">
        <f>IF(J98=0,"","Grassland")</f>
        <v/>
      </c>
      <c r="S98" s="425" t="str">
        <f>IF(L98=0,"","Grassland")</f>
        <v/>
      </c>
    </row>
    <row r="99" spans="1:25" s="390" customFormat="1" ht="18.75" hidden="1" x14ac:dyDescent="0.3">
      <c r="A99" s="501"/>
      <c r="B99" s="502" t="s">
        <v>1331</v>
      </c>
      <c r="C99" s="503"/>
      <c r="D99" s="465" t="str">
        <f>E98</f>
        <v/>
      </c>
      <c r="E99" s="469"/>
      <c r="F99" s="465" t="str">
        <f>G98</f>
        <v/>
      </c>
      <c r="G99" s="467"/>
      <c r="H99" s="468" t="str">
        <f>I98</f>
        <v/>
      </c>
      <c r="I99" s="469"/>
      <c r="J99" s="468" t="str">
        <f>K98</f>
        <v/>
      </c>
      <c r="K99" s="469"/>
      <c r="L99" s="468" t="str">
        <f>M98</f>
        <v/>
      </c>
      <c r="M99" s="498"/>
      <c r="N99" s="433"/>
      <c r="O99" s="479" t="str">
        <f>IF(LEFT(D99,3)="BAL","Grassland","")</f>
        <v/>
      </c>
      <c r="P99" s="479" t="str">
        <f>IF(LEFT(F99,3)="BAL","Grassland","")</f>
        <v/>
      </c>
      <c r="Q99" s="479" t="str">
        <f>IF(LEFT(H99,3)="BAL","Grassland","")</f>
        <v/>
      </c>
      <c r="R99" s="479" t="str">
        <f>IF(LEFT(J99,3)="BAL","Grassland","")</f>
        <v/>
      </c>
      <c r="S99" s="479" t="str">
        <f>IF(LEFT(L99,3)="BAL","Grassland","")</f>
        <v/>
      </c>
    </row>
    <row r="100" spans="1:25" s="390" customFormat="1" hidden="1" x14ac:dyDescent="0.25">
      <c r="A100" s="501"/>
      <c r="B100" s="470" t="s">
        <v>1341</v>
      </c>
      <c r="C100" s="475"/>
      <c r="D100" s="473" t="str">
        <f>IF(LEFT(E98,3)="BAL",10,"")</f>
        <v/>
      </c>
      <c r="E100" s="469"/>
      <c r="F100" s="473" t="str">
        <f>IF(LEFT(G98,3)="BAL",10,"")</f>
        <v/>
      </c>
      <c r="G100" s="467"/>
      <c r="H100" s="474" t="str">
        <f>IF(LEFT(I98,3)="BAL",10,"")</f>
        <v/>
      </c>
      <c r="I100" s="469"/>
      <c r="J100" s="474" t="str">
        <f>IF(LEFT(K98,3)="BAL",10,"")</f>
        <v/>
      </c>
      <c r="K100" s="469"/>
      <c r="L100" s="474" t="str">
        <f>IF(LEFT(M98,3)="BAL",10,"")</f>
        <v/>
      </c>
      <c r="M100" s="498"/>
      <c r="N100" s="433"/>
      <c r="O100" s="483" t="str">
        <f>IF(O99="Grassland","Grassland",IF(P99="Grassland","Grassland",IF(Q99="Grassland","Grassland",IF(R99="Grassland","Grassland",IF(S99="Grassland","Grassland","")))))</f>
        <v/>
      </c>
      <c r="P100" s="425"/>
      <c r="Q100" s="425"/>
      <c r="R100" s="425"/>
      <c r="S100" s="425"/>
    </row>
    <row r="101" spans="1:25" s="390" customFormat="1" hidden="1" x14ac:dyDescent="0.25">
      <c r="A101" s="501"/>
      <c r="B101" s="470" t="s">
        <v>1342</v>
      </c>
      <c r="C101" s="475"/>
      <c r="D101" s="473" t="str">
        <f>IF(LEFT(E98,3)="BAL",10,"")</f>
        <v/>
      </c>
      <c r="E101" s="469"/>
      <c r="F101" s="473" t="str">
        <f>IF(LEFT(G98,3)="BAL",10,"")</f>
        <v/>
      </c>
      <c r="G101" s="467"/>
      <c r="H101" s="474" t="str">
        <f>IF(LEFT(I98,3)="BAL",10,"")</f>
        <v/>
      </c>
      <c r="I101" s="469"/>
      <c r="J101" s="474" t="str">
        <f>IF(LEFT(K98,3)="BAL",10,"")</f>
        <v/>
      </c>
      <c r="K101" s="469"/>
      <c r="L101" s="474" t="str">
        <f>IF(LEFT(M98,3)="BAL",10,"")</f>
        <v/>
      </c>
      <c r="M101" s="498"/>
      <c r="N101" s="433"/>
      <c r="O101" s="425"/>
      <c r="P101" s="425"/>
      <c r="Q101" s="425"/>
      <c r="R101" s="425"/>
      <c r="S101" s="425"/>
    </row>
    <row r="102" spans="1:25" s="390" customFormat="1" hidden="1" x14ac:dyDescent="0.25">
      <c r="A102" s="501"/>
      <c r="B102" s="470" t="s">
        <v>1343</v>
      </c>
      <c r="C102" s="475"/>
      <c r="D102" s="473" t="str">
        <f>IF(LEFT(E98,3)="BAL",0,"")</f>
        <v/>
      </c>
      <c r="E102" s="469"/>
      <c r="F102" s="473" t="str">
        <f>IF(LEFT(G98,3)="BAL",0,"")</f>
        <v/>
      </c>
      <c r="G102" s="467"/>
      <c r="H102" s="474" t="str">
        <f>IF(LEFT(I98,3)="BAL",0,"")</f>
        <v/>
      </c>
      <c r="I102" s="469"/>
      <c r="J102" s="474" t="str">
        <f>IF(LEFT(K98,3)="BAL",0,"")</f>
        <v/>
      </c>
      <c r="K102" s="469"/>
      <c r="L102" s="474" t="str">
        <f>IF(LEFT(M98,3)="BAL",0,"")</f>
        <v/>
      </c>
      <c r="M102" s="498"/>
      <c r="N102" s="433"/>
      <c r="O102" s="425"/>
      <c r="P102" s="425"/>
      <c r="Q102" s="425"/>
      <c r="R102" s="425"/>
      <c r="S102" s="425"/>
    </row>
    <row r="103" spans="1:25" ht="5.25" customHeight="1" x14ac:dyDescent="0.25">
      <c r="A103" s="427"/>
      <c r="B103" s="443"/>
      <c r="C103" s="443"/>
      <c r="D103" s="444"/>
      <c r="E103" s="445"/>
      <c r="F103" s="444"/>
      <c r="G103" s="446"/>
      <c r="H103" s="447"/>
      <c r="I103" s="445"/>
      <c r="J103" s="447"/>
      <c r="K103" s="445"/>
      <c r="L103" s="447"/>
      <c r="M103" s="498"/>
      <c r="N103" s="433"/>
      <c r="O103" s="425"/>
      <c r="P103" s="425"/>
      <c r="Q103" s="425"/>
      <c r="R103" s="425"/>
      <c r="S103" s="425"/>
    </row>
    <row r="104" spans="1:25" ht="17.25" x14ac:dyDescent="0.3">
      <c r="A104" s="427"/>
      <c r="B104" s="515" t="s">
        <v>1356</v>
      </c>
      <c r="C104" s="435"/>
      <c r="D104" s="452"/>
      <c r="E104" s="431"/>
      <c r="F104" s="452"/>
      <c r="G104" s="455"/>
      <c r="H104" s="452"/>
      <c r="I104" s="431"/>
      <c r="J104" s="452"/>
      <c r="K104" s="485"/>
      <c r="L104" s="452"/>
      <c r="M104" s="498"/>
      <c r="N104" s="433"/>
      <c r="O104" s="425"/>
      <c r="P104" s="425"/>
      <c r="Q104" s="425"/>
      <c r="R104" s="425"/>
      <c r="S104" s="425"/>
    </row>
    <row r="105" spans="1:25" ht="6" customHeight="1" thickBot="1" x14ac:dyDescent="0.3">
      <c r="A105" s="486"/>
      <c r="B105" s="487"/>
      <c r="C105" s="487"/>
      <c r="D105" s="488"/>
      <c r="E105" s="489"/>
      <c r="F105" s="488"/>
      <c r="G105" s="490"/>
      <c r="H105" s="491"/>
      <c r="I105" s="492"/>
      <c r="J105" s="491"/>
      <c r="K105" s="493"/>
      <c r="L105" s="491"/>
      <c r="M105" s="516"/>
      <c r="N105" s="517"/>
      <c r="O105" s="425"/>
      <c r="P105" s="425"/>
      <c r="Q105" s="425"/>
      <c r="R105" s="425"/>
      <c r="S105" s="425"/>
    </row>
    <row r="106" spans="1:25" ht="6.75" customHeight="1" thickBot="1" x14ac:dyDescent="0.3">
      <c r="A106" s="518"/>
      <c r="B106" s="518"/>
      <c r="C106" s="518"/>
      <c r="D106" s="519"/>
      <c r="E106" s="520"/>
      <c r="F106" s="519"/>
      <c r="G106" s="420"/>
      <c r="H106" s="521"/>
      <c r="I106" s="422"/>
      <c r="J106" s="521"/>
      <c r="K106" s="423"/>
      <c r="L106" s="521"/>
      <c r="M106" s="442"/>
      <c r="N106" s="522"/>
      <c r="O106" s="425"/>
      <c r="P106" s="425"/>
      <c r="Q106" s="425"/>
      <c r="R106" s="425"/>
      <c r="S106" s="425"/>
    </row>
    <row r="107" spans="1:25" ht="6" customHeight="1" x14ac:dyDescent="0.25">
      <c r="A107" s="426"/>
      <c r="B107" s="1091"/>
      <c r="C107" s="1091"/>
      <c r="D107" s="1091"/>
      <c r="E107" s="1091"/>
      <c r="F107" s="1091"/>
      <c r="G107" s="1091"/>
      <c r="H107" s="1091"/>
      <c r="I107" s="1091"/>
      <c r="J107" s="1091"/>
      <c r="K107" s="1091"/>
      <c r="L107" s="1091"/>
      <c r="M107" s="1091"/>
      <c r="N107" s="1092"/>
      <c r="O107" s="425"/>
      <c r="P107" s="425"/>
      <c r="Q107" s="425"/>
      <c r="R107" s="425"/>
      <c r="S107" s="425"/>
      <c r="Y107" s="382"/>
    </row>
    <row r="108" spans="1:25" ht="19.5" customHeight="1" x14ac:dyDescent="0.25">
      <c r="A108" s="427"/>
      <c r="B108" s="428" t="s">
        <v>1359</v>
      </c>
      <c r="C108" s="429"/>
      <c r="D108" s="523" t="s">
        <v>1321</v>
      </c>
      <c r="E108" s="431"/>
      <c r="F108" s="1099" t="s">
        <v>1322</v>
      </c>
      <c r="G108" s="1100"/>
      <c r="H108" s="1100"/>
      <c r="I108" s="1100"/>
      <c r="J108" s="1100"/>
      <c r="K108" s="1100"/>
      <c r="L108" s="1101"/>
      <c r="M108" s="432"/>
      <c r="N108" s="433"/>
      <c r="O108" s="425"/>
      <c r="P108" s="425"/>
      <c r="Q108" s="425"/>
      <c r="R108" s="425"/>
      <c r="S108" s="425"/>
    </row>
    <row r="109" spans="1:25" ht="16.5" customHeight="1" x14ac:dyDescent="0.25">
      <c r="A109" s="427"/>
      <c r="B109" s="434" t="s">
        <v>1323</v>
      </c>
      <c r="C109" s="435"/>
      <c r="D109" s="524" t="s">
        <v>1324</v>
      </c>
      <c r="E109" s="431"/>
      <c r="F109" s="525" t="s">
        <v>1325</v>
      </c>
      <c r="G109" s="526"/>
      <c r="H109" s="527" t="s">
        <v>1326</v>
      </c>
      <c r="I109" s="528"/>
      <c r="J109" s="527" t="s">
        <v>1327</v>
      </c>
      <c r="K109" s="528"/>
      <c r="L109" s="529" t="s">
        <v>1328</v>
      </c>
      <c r="M109" s="442"/>
      <c r="N109" s="433"/>
      <c r="O109" s="425"/>
      <c r="P109" s="425"/>
      <c r="Q109" s="425"/>
      <c r="R109" s="425"/>
      <c r="S109" s="425"/>
    </row>
    <row r="110" spans="1:25" ht="7.5" customHeight="1" x14ac:dyDescent="0.25">
      <c r="A110" s="427"/>
      <c r="B110" s="443"/>
      <c r="C110" s="443"/>
      <c r="D110" s="444"/>
      <c r="E110" s="445"/>
      <c r="F110" s="444"/>
      <c r="G110" s="446"/>
      <c r="H110" s="447"/>
      <c r="I110" s="445"/>
      <c r="J110" s="447"/>
      <c r="K110" s="445"/>
      <c r="L110" s="447"/>
      <c r="M110" s="530"/>
      <c r="N110" s="448"/>
      <c r="O110" s="425"/>
      <c r="P110" s="425"/>
      <c r="Q110" s="425"/>
      <c r="R110" s="425"/>
      <c r="S110" s="425"/>
    </row>
    <row r="111" spans="1:25" ht="18.75" x14ac:dyDescent="0.3">
      <c r="A111" s="427"/>
      <c r="B111" s="531" t="s">
        <v>1329</v>
      </c>
      <c r="C111" s="435"/>
      <c r="D111" s="452"/>
      <c r="E111" s="453" t="str">
        <f>IF(D111="&lt;16","BALFZ",IF(D111="16&lt;21","BAL40",IF(D111="21&lt;31","BAL29",IF(D111="31&lt;42","BAL19",IF(D111="42&lt;100","BAL12.5","")))))</f>
        <v/>
      </c>
      <c r="F111" s="454"/>
      <c r="G111" s="455" t="str">
        <f>IF(F111="&lt;20","BALFZ",IF(F111="20&lt;27","BAL40",IF(F111="27&lt;37","BAL29",IF(F111="37&lt;50","BAL19",IF(F111="50&lt;100","BAL12.5","")))))</f>
        <v/>
      </c>
      <c r="H111" s="456"/>
      <c r="I111" s="457" t="str">
        <f>IF(H111="&lt;26","BALFZ",IF(H111="26&lt;33","BAL40",IF(H111="33&lt;46","BAL29",IF(H111="46&lt;61","BAL19",IF(H111="61&lt;100","BAL12.5","")))))</f>
        <v/>
      </c>
      <c r="J111" s="456"/>
      <c r="K111" s="457" t="str">
        <f>IF(J111="&lt;33","BALFZ",IF(J111="33&lt;42","BAL40",IF(J111="42&lt;56","BAL29",IF(J111="56&lt;73","BAL19",IF(J111="73&lt;100","BAL12.5","")))))</f>
        <v/>
      </c>
      <c r="L111" s="456"/>
      <c r="M111" s="442" t="str">
        <f>IF(L111="&lt;42","BALFZ",IF(L111="42&lt;52","BAL40",IF(L111="52&lt;68","BAL29",IF(L111="68&lt;87","BAL19",IF(L111="87&lt;100","BAL12.5","")))))</f>
        <v/>
      </c>
      <c r="N111" s="433"/>
      <c r="O111" s="425" t="str">
        <f>IF(D111=0,"","Forests")</f>
        <v/>
      </c>
      <c r="P111" s="425" t="str">
        <f>IF(F111=0,"","Forests")</f>
        <v/>
      </c>
      <c r="Q111" s="425" t="str">
        <f>IF(H111=0,"","Forests")</f>
        <v/>
      </c>
      <c r="R111" s="425" t="str">
        <f>IF(J111=0,"","Forests")</f>
        <v/>
      </c>
      <c r="S111" s="425" t="str">
        <f>IF(L111=0,"","Forests")</f>
        <v/>
      </c>
      <c r="T111" s="390" t="s">
        <v>1330</v>
      </c>
    </row>
    <row r="112" spans="1:25" s="461" customFormat="1" ht="18.75" hidden="1" x14ac:dyDescent="0.3">
      <c r="A112" s="499"/>
      <c r="B112" s="463" t="s">
        <v>1331</v>
      </c>
      <c r="C112" s="464"/>
      <c r="D112" s="465" t="str">
        <f>E111</f>
        <v/>
      </c>
      <c r="E112" s="466"/>
      <c r="F112" s="465" t="str">
        <f>G111</f>
        <v/>
      </c>
      <c r="G112" s="467"/>
      <c r="H112" s="468" t="str">
        <f>I111</f>
        <v/>
      </c>
      <c r="I112" s="469"/>
      <c r="J112" s="468" t="str">
        <f>K111</f>
        <v/>
      </c>
      <c r="K112" s="469"/>
      <c r="L112" s="468" t="str">
        <f>M111</f>
        <v/>
      </c>
      <c r="M112" s="458"/>
      <c r="N112" s="459"/>
      <c r="O112" s="425" t="str">
        <f>IF(D112=0,"","Forests")</f>
        <v>Forests</v>
      </c>
      <c r="P112" s="425" t="str">
        <f>IF(F112=0,"","Forests")</f>
        <v>Forests</v>
      </c>
      <c r="Q112" s="425" t="str">
        <f>IF(H112=0,"","Forests")</f>
        <v>Forests</v>
      </c>
      <c r="R112" s="425" t="str">
        <f>IF(J112=0,"","Forests")</f>
        <v>Forests</v>
      </c>
      <c r="S112" s="425" t="str">
        <f>IF(L112=0,"","Forests")</f>
        <v>Forests</v>
      </c>
    </row>
    <row r="113" spans="1:20" s="461" customFormat="1" hidden="1" x14ac:dyDescent="0.25">
      <c r="A113" s="499"/>
      <c r="B113" s="470" t="s">
        <v>1358</v>
      </c>
      <c r="C113" s="471"/>
      <c r="D113" s="472" t="str">
        <f>IF(LEFT(E111,3)="BAL",20,"")</f>
        <v/>
      </c>
      <c r="E113" s="469"/>
      <c r="F113" s="473" t="str">
        <f>IF(LEFT(G111,3)="BAL",20,"")</f>
        <v/>
      </c>
      <c r="G113" s="467"/>
      <c r="H113" s="474" t="str">
        <f>IF(LEFT(I111,3)="BAL",30,"")</f>
        <v/>
      </c>
      <c r="I113" s="469"/>
      <c r="J113" s="474" t="str">
        <f>IF(LEFT(K111,3)="BAL",40,"")</f>
        <v/>
      </c>
      <c r="K113" s="469"/>
      <c r="L113" s="474" t="str">
        <f>IF(LEFT(M111,3)="BAL",45,"")</f>
        <v/>
      </c>
      <c r="M113" s="458"/>
      <c r="N113" s="459"/>
      <c r="O113" s="425" t="str">
        <f>IF(D113=0,"","Forests")</f>
        <v>Forests</v>
      </c>
      <c r="P113" s="425" t="str">
        <f>IF(F113=0,"","Forests")</f>
        <v>Forests</v>
      </c>
      <c r="Q113" s="425" t="str">
        <f>IF(H113=0,"","Forests")</f>
        <v>Forests</v>
      </c>
      <c r="R113" s="425" t="str">
        <f>IF(J113=0,"","Forests")</f>
        <v>Forests</v>
      </c>
      <c r="S113" s="425" t="str">
        <f>IF(L113=0,"","Forests")</f>
        <v>Forests</v>
      </c>
    </row>
    <row r="114" spans="1:20" s="461" customFormat="1" hidden="1" x14ac:dyDescent="0.25">
      <c r="A114" s="499"/>
      <c r="B114" s="470" t="s">
        <v>1333</v>
      </c>
      <c r="C114" s="471"/>
      <c r="D114" s="473" t="str">
        <f>IF(LEFT(E111,3)="BAL",10,"")</f>
        <v/>
      </c>
      <c r="E114" s="469"/>
      <c r="F114" s="473" t="str">
        <f>IF(LEFT(G111,3)="BAL",15,"")</f>
        <v/>
      </c>
      <c r="G114" s="467"/>
      <c r="H114" s="474" t="str">
        <f>IF(LEFT(I111,3)="BAL",15,"")</f>
        <v/>
      </c>
      <c r="I114" s="469"/>
      <c r="J114" s="474" t="str">
        <f>IF(LEFT(K111,3)="BAL",20,"")</f>
        <v/>
      </c>
      <c r="K114" s="469"/>
      <c r="L114" s="474" t="str">
        <f>IF(LEFT(M111,3)="BAL",25,"")</f>
        <v/>
      </c>
      <c r="M114" s="458"/>
      <c r="N114" s="459"/>
      <c r="O114" s="425" t="str">
        <f>IF(D114=0,"","Forests")</f>
        <v>Forests</v>
      </c>
      <c r="P114" s="425" t="str">
        <f>IF(F114=0,"","Forests")</f>
        <v>Forests</v>
      </c>
      <c r="Q114" s="425" t="str">
        <f>IF(H114=0,"","Forests")</f>
        <v>Forests</v>
      </c>
      <c r="R114" s="425" t="str">
        <f>IF(J114=0,"","Forests")</f>
        <v>Forests</v>
      </c>
      <c r="S114" s="425" t="str">
        <f>IF(L114=0,"","Forests")</f>
        <v>Forests</v>
      </c>
    </row>
    <row r="115" spans="1:20" s="461" customFormat="1" hidden="1" x14ac:dyDescent="0.25">
      <c r="A115" s="499"/>
      <c r="B115" s="470" t="s">
        <v>1334</v>
      </c>
      <c r="C115" s="471"/>
      <c r="D115" s="473" t="str">
        <f>IF(LEFT(E111,3)="BAL",10,"")</f>
        <v/>
      </c>
      <c r="E115" s="469"/>
      <c r="F115" s="473" t="str">
        <f>IF(LEFT(G111,3)="BAL",5,"")</f>
        <v/>
      </c>
      <c r="G115" s="467"/>
      <c r="H115" s="474" t="str">
        <f>IF(LEFT(I111,3)="BAL",15,"")</f>
        <v/>
      </c>
      <c r="I115" s="469"/>
      <c r="J115" s="474" t="str">
        <f>IF(LEFT(K111,3)="BAL",20,"")</f>
        <v/>
      </c>
      <c r="K115" s="469"/>
      <c r="L115" s="474" t="str">
        <f>IF(LEFT(M111,3)="BAL",20,"")</f>
        <v/>
      </c>
      <c r="M115" s="458"/>
      <c r="N115" s="459"/>
      <c r="O115" s="425" t="str">
        <f>IF(D115=0,"","Forests")</f>
        <v>Forests</v>
      </c>
      <c r="P115" s="425" t="str">
        <f>IF(F115=0,"","Forests")</f>
        <v>Forests</v>
      </c>
      <c r="Q115" s="425" t="str">
        <f>IF(H115=0,"","Forests")</f>
        <v>Forests</v>
      </c>
      <c r="R115" s="425" t="str">
        <f>IF(J115=0,"","Forests")</f>
        <v>Forests</v>
      </c>
      <c r="S115" s="425" t="str">
        <f>IF(L115=0,"","Forests")</f>
        <v>Forests</v>
      </c>
    </row>
    <row r="116" spans="1:20" ht="5.25" customHeight="1" x14ac:dyDescent="0.25">
      <c r="A116" s="427"/>
      <c r="B116" s="443"/>
      <c r="C116" s="443"/>
      <c r="D116" s="444"/>
      <c r="E116" s="445"/>
      <c r="F116" s="444"/>
      <c r="G116" s="446"/>
      <c r="H116" s="447"/>
      <c r="I116" s="445"/>
      <c r="J116" s="447"/>
      <c r="K116" s="445"/>
      <c r="L116" s="447"/>
      <c r="M116" s="442"/>
      <c r="N116" s="448"/>
      <c r="O116" s="425"/>
      <c r="P116" s="425"/>
      <c r="Q116" s="425"/>
      <c r="R116" s="425"/>
      <c r="S116" s="425"/>
      <c r="T116" s="390" t="s">
        <v>1335</v>
      </c>
    </row>
    <row r="117" spans="1:20" s="390" customFormat="1" hidden="1" x14ac:dyDescent="0.25">
      <c r="A117" s="501"/>
      <c r="B117" s="470" t="s">
        <v>1336</v>
      </c>
      <c r="C117" s="475"/>
      <c r="D117" s="476" t="str">
        <f>IF(LEFT(E111,3)="BAL",15,"")</f>
        <v/>
      </c>
      <c r="E117" s="477"/>
      <c r="F117" s="478" t="str">
        <f>IF(LEFT(G111,3)="BAL",20,"")</f>
        <v/>
      </c>
      <c r="G117" s="467"/>
      <c r="H117" s="479" t="str">
        <f>IF(LEFT(I111,3)="BAL",25,"")</f>
        <v/>
      </c>
      <c r="I117" s="477"/>
      <c r="J117" s="479" t="str">
        <f>IF(LEFT(K111,3)="BAL",35,"")</f>
        <v/>
      </c>
      <c r="K117" s="477"/>
      <c r="L117" s="479" t="str">
        <f>IF(LEFT(M111,3)="BAL",40,"")</f>
        <v/>
      </c>
      <c r="M117" s="442"/>
      <c r="N117" s="433"/>
      <c r="O117" s="425" t="str">
        <f>IF(D117=0,"","Forests")</f>
        <v>Forests</v>
      </c>
      <c r="P117" s="425" t="str">
        <f>IF(F117=0,"","Forests")</f>
        <v>Forests</v>
      </c>
      <c r="Q117" s="425" t="str">
        <f>IF(H117=0,"","Forests")</f>
        <v>Forests</v>
      </c>
      <c r="R117" s="425" t="str">
        <f>IF(J117=0,"","Forests")</f>
        <v>Forests</v>
      </c>
      <c r="S117" s="425" t="str">
        <f>IF(L117=0,"","Forests")</f>
        <v>Forests</v>
      </c>
    </row>
    <row r="118" spans="1:20" s="390" customFormat="1" hidden="1" x14ac:dyDescent="0.25">
      <c r="A118" s="501"/>
      <c r="B118" s="470" t="s">
        <v>1337</v>
      </c>
      <c r="C118" s="475"/>
      <c r="D118" s="480" t="str">
        <f>IF(LEFT(E111,3)="BAL",15,"")</f>
        <v/>
      </c>
      <c r="E118" s="477"/>
      <c r="F118" s="478" t="str">
        <f>IF(LEFT(G111,3)="BAL",20,"")</f>
        <v/>
      </c>
      <c r="G118" s="467"/>
      <c r="H118" s="479" t="str">
        <f>IF(LEFT(I111,3)="BAL",25,"")</f>
        <v/>
      </c>
      <c r="I118" s="477"/>
      <c r="J118" s="479" t="str">
        <f>IF(LEFT(K111,3)="BAL",35,"")</f>
        <v/>
      </c>
      <c r="K118" s="477"/>
      <c r="L118" s="479" t="str">
        <f>IF(LEFT(M111,3)="BAL",40,"")</f>
        <v/>
      </c>
      <c r="M118" s="442"/>
      <c r="N118" s="433"/>
      <c r="O118" s="425" t="str">
        <f>IF(D118=0,"","Forests")</f>
        <v>Forests</v>
      </c>
      <c r="P118" s="425" t="str">
        <f>IF(F118=0,"","Forests")</f>
        <v>Forests</v>
      </c>
      <c r="Q118" s="425" t="str">
        <f>IF(H118=0,"","Forests")</f>
        <v>Forests</v>
      </c>
      <c r="R118" s="425" t="str">
        <f>IF(J118=0,"","Forests")</f>
        <v>Forests</v>
      </c>
      <c r="S118" s="425" t="str">
        <f>IF(L118=0,"","Forests")</f>
        <v>Forests</v>
      </c>
    </row>
    <row r="119" spans="1:20" s="390" customFormat="1" hidden="1" x14ac:dyDescent="0.25">
      <c r="A119" s="501"/>
      <c r="B119" s="470" t="s">
        <v>1338</v>
      </c>
      <c r="C119" s="475"/>
      <c r="D119" s="478" t="str">
        <f>IF(LEFT(E111,3)="BAL",0,"")</f>
        <v/>
      </c>
      <c r="E119" s="477"/>
      <c r="F119" s="478" t="str">
        <f>IF(LEFT(G111,3)="BAL",0,"")</f>
        <v/>
      </c>
      <c r="G119" s="467"/>
      <c r="H119" s="479" t="str">
        <f>IF(LEFT(I111,3)="BAL",0,"")</f>
        <v/>
      </c>
      <c r="I119" s="477"/>
      <c r="J119" s="479" t="str">
        <f>IF(LEFT(K111,3)="BAL",0,"")</f>
        <v/>
      </c>
      <c r="K119" s="477"/>
      <c r="L119" s="479" t="str">
        <f>IF(LEFT(M111,3)="BAL",0,"")</f>
        <v/>
      </c>
      <c r="M119" s="442"/>
      <c r="N119" s="433"/>
      <c r="O119" s="425" t="str">
        <f>IF(D119=0,"","Forests")</f>
        <v>Forests</v>
      </c>
      <c r="P119" s="425" t="str">
        <f>IF(F119=0,"","Forests")</f>
        <v>Forests</v>
      </c>
      <c r="Q119" s="425" t="str">
        <f>IF(H119=0,"","Forests")</f>
        <v>Forests</v>
      </c>
      <c r="R119" s="425" t="str">
        <f>IF(J119=0,"","Forests")</f>
        <v>Forests</v>
      </c>
      <c r="S119" s="425" t="str">
        <f>IF(L119=0,"","Forests")</f>
        <v>Forests</v>
      </c>
    </row>
    <row r="120" spans="1:20" hidden="1" x14ac:dyDescent="0.25">
      <c r="A120" s="427"/>
      <c r="B120" s="443"/>
      <c r="C120" s="443"/>
      <c r="D120" s="444"/>
      <c r="E120" s="445"/>
      <c r="F120" s="444"/>
      <c r="G120" s="446"/>
      <c r="H120" s="447"/>
      <c r="I120" s="445"/>
      <c r="J120" s="447"/>
      <c r="K120" s="445"/>
      <c r="L120" s="447"/>
      <c r="M120" s="442"/>
      <c r="N120" s="433"/>
      <c r="O120" s="425" t="str">
        <f>IF(D120=0,"","Forests")</f>
        <v/>
      </c>
      <c r="P120" s="425" t="str">
        <f>IF(F120=0,"","Forests")</f>
        <v/>
      </c>
      <c r="Q120" s="425" t="str">
        <f>IF(H120=0,"","Forests")</f>
        <v/>
      </c>
      <c r="R120" s="425" t="str">
        <f>IF(J120=0,"","Forests")</f>
        <v/>
      </c>
      <c r="S120" s="425" t="str">
        <f>IF(L120=0,"","Forests")</f>
        <v/>
      </c>
    </row>
    <row r="121" spans="1:20" ht="18.75" x14ac:dyDescent="0.3">
      <c r="A121" s="427"/>
      <c r="B121" s="531" t="s">
        <v>1339</v>
      </c>
      <c r="C121" s="435"/>
      <c r="D121" s="452"/>
      <c r="E121" s="431" t="str">
        <f>IF(D121="&lt;10","BALFZ",IF(D121="10&lt;14","BAL40",IF(D121="14&lt;20","BAL29",IF(D121="20&lt;29","BAL19",IF(D121="29&lt;100","BAL12.5","")))))</f>
        <v/>
      </c>
      <c r="F121" s="452"/>
      <c r="G121" s="455" t="str">
        <f>IF(F121="&lt;13","BALFZ",IF(F121="13&lt;17","BAL40",IF(F121="17&lt;25","BAL29",IF(F121="25&lt;35","BAL19",IF(F121="35&lt;100","BAL12.5","")))))</f>
        <v/>
      </c>
      <c r="H121" s="456"/>
      <c r="I121" s="431" t="str">
        <f>IF(H121="&lt;16","BALFZ",IF(H121="16&lt;22","BAL40",IF(H121="22&lt;31","BAL29",IF(H121="31&lt;43","BAL19",IF(H121="43&lt;100","BAL12.5","")))))</f>
        <v/>
      </c>
      <c r="J121" s="456"/>
      <c r="K121" s="431" t="str">
        <f>IF(J121="&lt;21","BALFZ",IF(J121="21&lt;28","BAL40",IF(J121="28&lt;39","BAL29",IF(J121="39&lt;53","BAL19",IF(J121="53&lt;100","BAL12.5","")))))</f>
        <v/>
      </c>
      <c r="L121" s="456"/>
      <c r="M121" s="442" t="str">
        <f>IF(L121="&lt;27","BALFZ",IF(L121="27&lt;35","BAL40",IF(L121="35&lt;48","BAL29",IF(L121="48&lt;64","BAL19",IF(L121="64&lt;100","BAL12.5","")))))</f>
        <v/>
      </c>
      <c r="N121" s="433"/>
      <c r="O121" s="425" t="str">
        <f>IF(D121=0,"","Woodlands")</f>
        <v/>
      </c>
      <c r="P121" s="425" t="str">
        <f>IF(F121=0,"","Woodlands")</f>
        <v/>
      </c>
      <c r="Q121" s="425" t="str">
        <f>IF(H121=0,"","Woodlands")</f>
        <v/>
      </c>
      <c r="R121" s="425" t="str">
        <f>IF(J121=0,"","Woodlands")</f>
        <v/>
      </c>
      <c r="S121" s="425" t="str">
        <f>IF(L121=0,"","Woodlands")</f>
        <v/>
      </c>
      <c r="T121" s="390" t="s">
        <v>1340</v>
      </c>
    </row>
    <row r="122" spans="1:20" s="461" customFormat="1" ht="18.75" hidden="1" x14ac:dyDescent="0.3">
      <c r="A122" s="499"/>
      <c r="B122" s="463" t="s">
        <v>1331</v>
      </c>
      <c r="C122" s="464"/>
      <c r="D122" s="465" t="str">
        <f>E121</f>
        <v/>
      </c>
      <c r="E122" s="469"/>
      <c r="F122" s="465" t="str">
        <f>G121</f>
        <v/>
      </c>
      <c r="G122" s="467"/>
      <c r="H122" s="468" t="str">
        <f>I121</f>
        <v/>
      </c>
      <c r="I122" s="469"/>
      <c r="J122" s="468" t="str">
        <f>K121</f>
        <v/>
      </c>
      <c r="K122" s="469"/>
      <c r="L122" s="468" t="str">
        <f>M121</f>
        <v/>
      </c>
      <c r="M122" s="458"/>
      <c r="N122" s="459"/>
      <c r="O122" s="425" t="str">
        <f>IF(D122=0,"","Forests")</f>
        <v>Forests</v>
      </c>
      <c r="P122" s="425" t="str">
        <f>IF(F122=0,"","Forests")</f>
        <v>Forests</v>
      </c>
      <c r="Q122" s="425" t="str">
        <f>IF(H122=0,"","Forests")</f>
        <v>Forests</v>
      </c>
      <c r="R122" s="425" t="str">
        <f>IF(J122=0,"","Forests")</f>
        <v>Forests</v>
      </c>
      <c r="S122" s="425" t="str">
        <f>IF(L122=0,"","Forests")</f>
        <v>Forests</v>
      </c>
    </row>
    <row r="123" spans="1:20" s="461" customFormat="1" hidden="1" x14ac:dyDescent="0.25">
      <c r="A123" s="499"/>
      <c r="B123" s="470" t="s">
        <v>1341</v>
      </c>
      <c r="C123" s="471"/>
      <c r="D123" s="472" t="str">
        <f>IF(LEFT(E121,3)="BAL",10,"")</f>
        <v/>
      </c>
      <c r="E123" s="469"/>
      <c r="F123" s="473" t="str">
        <f>IF(LEFT(G121,3)="BAL",15,"")</f>
        <v/>
      </c>
      <c r="G123" s="467"/>
      <c r="H123" s="474" t="str">
        <f>IF(LEFT(I121,3)="BAL",15,"")</f>
        <v/>
      </c>
      <c r="I123" s="469"/>
      <c r="J123" s="474" t="str">
        <f>IF(LEFT(K121,3)="BAL",20,"")</f>
        <v/>
      </c>
      <c r="K123" s="469"/>
      <c r="L123" s="474" t="str">
        <f>IF(LEFT(M121,3)="BAL",25,"")</f>
        <v/>
      </c>
      <c r="M123" s="458"/>
      <c r="N123" s="459"/>
      <c r="O123" s="425" t="str">
        <f>IF(D123=0,"","Forests")</f>
        <v>Forests</v>
      </c>
      <c r="P123" s="425" t="str">
        <f>IF(F123=0,"","Forests")</f>
        <v>Forests</v>
      </c>
      <c r="Q123" s="425" t="str">
        <f>IF(H123=0,"","Forests")</f>
        <v>Forests</v>
      </c>
      <c r="R123" s="425" t="str">
        <f>IF(J123=0,"","Forests")</f>
        <v>Forests</v>
      </c>
      <c r="S123" s="425" t="str">
        <f>IF(L123=0,"","Forests")</f>
        <v>Forests</v>
      </c>
    </row>
    <row r="124" spans="1:20" s="461" customFormat="1" hidden="1" x14ac:dyDescent="0.25">
      <c r="A124" s="499"/>
      <c r="B124" s="470" t="s">
        <v>1342</v>
      </c>
      <c r="C124" s="471"/>
      <c r="D124" s="473" t="str">
        <f>IF(LEFT(E121,3)="BAL",10,"")</f>
        <v/>
      </c>
      <c r="E124" s="469"/>
      <c r="F124" s="473" t="str">
        <f>IF(LEFT(G121,3)="BAL",15,"")</f>
        <v/>
      </c>
      <c r="G124" s="467"/>
      <c r="H124" s="474" t="str">
        <f>IF(LEFT(I121,3)="BAL",15,"")</f>
        <v/>
      </c>
      <c r="I124" s="469"/>
      <c r="J124" s="474" t="str">
        <f>IF(LEFT(K121,3)="BAL",20,"")</f>
        <v/>
      </c>
      <c r="K124" s="469"/>
      <c r="L124" s="474" t="str">
        <f>IF(LEFT(M121,3)="BAL",25,"")</f>
        <v/>
      </c>
      <c r="M124" s="458"/>
      <c r="N124" s="459"/>
      <c r="O124" s="425" t="str">
        <f>IF(D124=0,"","Forests")</f>
        <v>Forests</v>
      </c>
      <c r="P124" s="425" t="str">
        <f>IF(F124=0,"","Forests")</f>
        <v>Forests</v>
      </c>
      <c r="Q124" s="425" t="str">
        <f>IF(H124=0,"","Forests")</f>
        <v>Forests</v>
      </c>
      <c r="R124" s="425" t="str">
        <f>IF(J124=0,"","Forests")</f>
        <v>Forests</v>
      </c>
      <c r="S124" s="425" t="str">
        <f>IF(L124=0,"","Forests")</f>
        <v>Forests</v>
      </c>
    </row>
    <row r="125" spans="1:20" s="461" customFormat="1" hidden="1" x14ac:dyDescent="0.25">
      <c r="A125" s="499"/>
      <c r="B125" s="470" t="s">
        <v>1343</v>
      </c>
      <c r="C125" s="471"/>
      <c r="D125" s="473" t="str">
        <f>IF(LEFT(E121,3)="BAL",0,"")</f>
        <v/>
      </c>
      <c r="E125" s="469"/>
      <c r="F125" s="473" t="str">
        <f>IF(LEFT(G121,3)="BAL",0,"")</f>
        <v/>
      </c>
      <c r="G125" s="467"/>
      <c r="H125" s="474" t="str">
        <f>IF(LEFT(I121,3)="BAL",0,"")</f>
        <v/>
      </c>
      <c r="I125" s="469"/>
      <c r="J125" s="474" t="str">
        <f>IF(LEFT(K121,3)="BAL",0,"")</f>
        <v/>
      </c>
      <c r="K125" s="469"/>
      <c r="L125" s="474" t="str">
        <f>IF(LEFT(M121,3)="BAL",0,"")</f>
        <v/>
      </c>
      <c r="M125" s="458"/>
      <c r="N125" s="459"/>
      <c r="O125" s="425" t="str">
        <f>IF(D125=0,"","Forests")</f>
        <v>Forests</v>
      </c>
      <c r="P125" s="425" t="str">
        <f>IF(F125=0,"","Forests")</f>
        <v>Forests</v>
      </c>
      <c r="Q125" s="425" t="str">
        <f>IF(H125=0,"","Forests")</f>
        <v>Forests</v>
      </c>
      <c r="R125" s="425" t="str">
        <f>IF(J125=0,"","Forests")</f>
        <v>Forests</v>
      </c>
      <c r="S125" s="425" t="str">
        <f>IF(L125=0,"","Forests")</f>
        <v>Forests</v>
      </c>
    </row>
    <row r="126" spans="1:20" ht="6" customHeight="1" x14ac:dyDescent="0.25">
      <c r="A126" s="427"/>
      <c r="B126" s="443"/>
      <c r="C126" s="443"/>
      <c r="D126" s="444"/>
      <c r="E126" s="445"/>
      <c r="F126" s="444"/>
      <c r="G126" s="446"/>
      <c r="H126" s="447"/>
      <c r="I126" s="445"/>
      <c r="J126" s="447"/>
      <c r="K126" s="445"/>
      <c r="L126" s="447"/>
      <c r="M126" s="442"/>
      <c r="N126" s="448"/>
      <c r="O126" s="425"/>
      <c r="P126" s="425"/>
      <c r="Q126" s="425"/>
      <c r="R126" s="425"/>
      <c r="S126" s="425"/>
      <c r="T126" s="390" t="s">
        <v>1344</v>
      </c>
    </row>
    <row r="127" spans="1:20" ht="18.75" x14ac:dyDescent="0.3">
      <c r="A127" s="427"/>
      <c r="B127" s="531" t="s">
        <v>1345</v>
      </c>
      <c r="C127" s="435"/>
      <c r="D127" s="452"/>
      <c r="E127" s="431" t="str">
        <f>IF(D127="&lt;7","BALFZ",IF(D127="7&lt;9","BAL40",IF(D127="9&lt;13","BAL29",IF(D127="13&lt;19","BAL19",IF(D127="19&lt;100","BAL12.5","")))))</f>
        <v/>
      </c>
      <c r="F127" s="452"/>
      <c r="G127" s="455" t="str">
        <f>IF(F127="&lt;7","BALFZ",IF(F127="7&lt;10","BAL40",IF(F127="10&lt;15","BAL29",IF(F127="15&lt;22","BAL19",IF(F127="22&lt;100","BAL12.5","")))))</f>
        <v/>
      </c>
      <c r="H127" s="456"/>
      <c r="I127" s="431" t="str">
        <f>IF(H127="&lt;8","BALFZ",IF(H127="8&lt;11","BAL40",IF(H127="11&lt;17","BAL29",IF(H127="17&lt;25","BAL19",IF(H127="25&lt;100","BAL12.5","")))))</f>
        <v/>
      </c>
      <c r="J127" s="456"/>
      <c r="K127" s="431" t="str">
        <f>IF(J127="&lt;9","BALFZ",IF(J127="9&lt;13","BAL40",IF(J127="13&lt;19","BAL29",IF(J127="19&lt;28","BAL19",IF(J127="28&lt;100","BAL12.5","")))))</f>
        <v/>
      </c>
      <c r="L127" s="456"/>
      <c r="M127" s="442" t="str">
        <f>IF(L127="&lt;10","BALFZ",IF(L127="10&lt;15","BAL40",IF(L127="15&lt;22","BAL29",IF(L127="22&lt;31","BAL19",IF(L127="31&lt;100","BAL12.5","")))))</f>
        <v/>
      </c>
      <c r="N127" s="433"/>
      <c r="O127" s="425" t="str">
        <f>IF(D127=0,"","Shrubland")</f>
        <v/>
      </c>
      <c r="P127" s="425" t="str">
        <f>IF(F127=0,"","Shrubland")</f>
        <v/>
      </c>
      <c r="Q127" s="425" t="str">
        <f>IF(H127=0,"","Shrubland")</f>
        <v/>
      </c>
      <c r="R127" s="425" t="str">
        <f>IF(J127=0,"","Shrubland")</f>
        <v/>
      </c>
      <c r="S127" s="425" t="str">
        <f>IF(L127=0,"","Shrubland")</f>
        <v/>
      </c>
      <c r="T127" s="390" t="s">
        <v>1346</v>
      </c>
    </row>
    <row r="128" spans="1:20" s="461" customFormat="1" ht="18.75" hidden="1" x14ac:dyDescent="0.3">
      <c r="A128" s="499"/>
      <c r="B128" s="463" t="s">
        <v>1331</v>
      </c>
      <c r="C128" s="464"/>
      <c r="D128" s="465" t="str">
        <f>E127</f>
        <v/>
      </c>
      <c r="E128" s="469"/>
      <c r="F128" s="465" t="str">
        <f>G127</f>
        <v/>
      </c>
      <c r="G128" s="467"/>
      <c r="H128" s="468" t="str">
        <f>I127</f>
        <v/>
      </c>
      <c r="I128" s="469"/>
      <c r="J128" s="468" t="str">
        <f>K127</f>
        <v/>
      </c>
      <c r="K128" s="469"/>
      <c r="L128" s="468" t="str">
        <f>M127</f>
        <v/>
      </c>
      <c r="M128" s="458"/>
      <c r="N128" s="459"/>
      <c r="O128" s="425" t="str">
        <f>IF(D128=0,"","Forests")</f>
        <v>Forests</v>
      </c>
      <c r="P128" s="425" t="str">
        <f>IF(F128=0,"","Forests")</f>
        <v>Forests</v>
      </c>
      <c r="Q128" s="425" t="str">
        <f>IF(H128=0,"","Forests")</f>
        <v>Forests</v>
      </c>
      <c r="R128" s="425" t="str">
        <f>IF(J128=0,"","Forests")</f>
        <v>Forests</v>
      </c>
      <c r="S128" s="425" t="str">
        <f>IF(L128=0,"","Forests")</f>
        <v>Forests</v>
      </c>
    </row>
    <row r="129" spans="1:19" s="461" customFormat="1" hidden="1" x14ac:dyDescent="0.25">
      <c r="A129" s="499"/>
      <c r="B129" s="470" t="s">
        <v>1347</v>
      </c>
      <c r="C129" s="471"/>
      <c r="D129" s="473" t="str">
        <f>IF(LEFT(E127,3)="BAL",10,"")</f>
        <v/>
      </c>
      <c r="E129" s="469"/>
      <c r="F129" s="473" t="str">
        <f>IF(LEFT(G127,3)="BAL",10,"")</f>
        <v/>
      </c>
      <c r="G129" s="467"/>
      <c r="H129" s="474" t="str">
        <f>IF(LEFT(I127,3)="BAL",10,"")</f>
        <v/>
      </c>
      <c r="I129" s="469"/>
      <c r="J129" s="474" t="str">
        <f>IF(LEFT(K127,3)="BAL",10,"")</f>
        <v/>
      </c>
      <c r="K129" s="469"/>
      <c r="L129" s="474" t="str">
        <f>IF(LEFT(M127,3)="BAL",15,"")</f>
        <v/>
      </c>
      <c r="M129" s="458"/>
      <c r="N129" s="459"/>
      <c r="O129" s="425" t="str">
        <f>IF(D129=0,"","Forests")</f>
        <v>Forests</v>
      </c>
      <c r="P129" s="425" t="str">
        <f>IF(F129=0,"","Forests")</f>
        <v>Forests</v>
      </c>
      <c r="Q129" s="425" t="str">
        <f>IF(H129=0,"","Forests")</f>
        <v>Forests</v>
      </c>
      <c r="R129" s="425" t="str">
        <f>IF(J129=0,"","Forests")</f>
        <v>Forests</v>
      </c>
      <c r="S129" s="425" t="str">
        <f>IF(L129=0,"","Forests")</f>
        <v>Forests</v>
      </c>
    </row>
    <row r="130" spans="1:19" s="461" customFormat="1" hidden="1" x14ac:dyDescent="0.25">
      <c r="A130" s="499"/>
      <c r="B130" s="470" t="s">
        <v>1342</v>
      </c>
      <c r="C130" s="471"/>
      <c r="D130" s="473" t="str">
        <f>IF(LEFT(E127,3)="BAL",10,"")</f>
        <v/>
      </c>
      <c r="E130" s="469"/>
      <c r="F130" s="473" t="str">
        <f>IF(LEFT(G127,3)="BAL",10,"")</f>
        <v/>
      </c>
      <c r="G130" s="467"/>
      <c r="H130" s="474" t="str">
        <f>IF(LEFT(I127,3)="BAL",10,"")</f>
        <v/>
      </c>
      <c r="I130" s="469"/>
      <c r="J130" s="474" t="str">
        <f>IF(LEFT(K127,3)="BAL",10,"")</f>
        <v/>
      </c>
      <c r="K130" s="469"/>
      <c r="L130" s="474" t="str">
        <f>IF(LEFT(M127,3)="BAL",15,"")</f>
        <v/>
      </c>
      <c r="M130" s="458"/>
      <c r="N130" s="459"/>
      <c r="O130" s="425" t="str">
        <f>IF(D130=0,"","Forests")</f>
        <v>Forests</v>
      </c>
      <c r="P130" s="425" t="str">
        <f>IF(F130=0,"","Forests")</f>
        <v>Forests</v>
      </c>
      <c r="Q130" s="425" t="str">
        <f>IF(H130=0,"","Forests")</f>
        <v>Forests</v>
      </c>
      <c r="R130" s="425" t="str">
        <f>IF(J130=0,"","Forests")</f>
        <v>Forests</v>
      </c>
      <c r="S130" s="425" t="str">
        <f>IF(L130=0,"","Forests")</f>
        <v>Forests</v>
      </c>
    </row>
    <row r="131" spans="1:19" s="461" customFormat="1" hidden="1" x14ac:dyDescent="0.25">
      <c r="A131" s="499"/>
      <c r="B131" s="470" t="s">
        <v>1343</v>
      </c>
      <c r="C131" s="471"/>
      <c r="D131" s="473" t="str">
        <f>IF(LEFT(E127,3)="BAL",0,"")</f>
        <v/>
      </c>
      <c r="E131" s="469"/>
      <c r="F131" s="473" t="str">
        <f>IF(LEFT(G127,3)="BAL",0,"")</f>
        <v/>
      </c>
      <c r="G131" s="467"/>
      <c r="H131" s="474" t="str">
        <f>IF(LEFT(I127,3)="BAL",0,"")</f>
        <v/>
      </c>
      <c r="I131" s="469"/>
      <c r="J131" s="474" t="str">
        <f>IF(LEFT(K127,3)="BAL",0,"")</f>
        <v/>
      </c>
      <c r="K131" s="469"/>
      <c r="L131" s="474" t="str">
        <f>IF(LEFT(M127,3)="BAL",0,"")</f>
        <v/>
      </c>
      <c r="M131" s="458"/>
      <c r="N131" s="459"/>
      <c r="O131" s="425" t="str">
        <f>IF(D131=0,"","Forests")</f>
        <v>Forests</v>
      </c>
      <c r="P131" s="425" t="str">
        <f>IF(F131=0,"","Forests")</f>
        <v>Forests</v>
      </c>
      <c r="Q131" s="425" t="str">
        <f>IF(H131=0,"","Forests")</f>
        <v>Forests</v>
      </c>
      <c r="R131" s="425" t="str">
        <f>IF(J131=0,"","Forests")</f>
        <v>Forests</v>
      </c>
      <c r="S131" s="425" t="str">
        <f>IF(L131=0,"","Forests")</f>
        <v>Forests</v>
      </c>
    </row>
    <row r="132" spans="1:19" ht="6" customHeight="1" x14ac:dyDescent="0.25">
      <c r="A132" s="427"/>
      <c r="B132" s="443"/>
      <c r="C132" s="443"/>
      <c r="D132" s="444"/>
      <c r="E132" s="445"/>
      <c r="F132" s="444"/>
      <c r="G132" s="446"/>
      <c r="H132" s="447"/>
      <c r="I132" s="445"/>
      <c r="J132" s="447"/>
      <c r="K132" s="445"/>
      <c r="L132" s="447"/>
      <c r="M132" s="442"/>
      <c r="N132" s="448"/>
      <c r="O132" s="425"/>
      <c r="P132" s="425"/>
      <c r="Q132" s="425"/>
      <c r="R132" s="425"/>
      <c r="S132" s="425"/>
    </row>
    <row r="133" spans="1:19" ht="18.75" x14ac:dyDescent="0.3">
      <c r="A133" s="427"/>
      <c r="B133" s="531" t="s">
        <v>1348</v>
      </c>
      <c r="C133" s="435"/>
      <c r="D133" s="452"/>
      <c r="E133" s="431" t="str">
        <f>IF(D133="&lt;10","BALFZ",IF(D133="10&lt;13","BAL40",IF(D133="13&lt;19","BAL29",IF(D133="19&lt;27","BAL19",IF(D133="27&lt;100","BAL12.5","")))))</f>
        <v/>
      </c>
      <c r="F133" s="452"/>
      <c r="G133" s="455" t="str">
        <f>IF(F133="&lt;11","BALFZ",IF(F133="11&lt;15","BAL40",IF(F133="15&lt;22","BAL29",IF(F133="22&lt;31","BAL19",IF(F133="31&lt;100","BAL12.5","")))))</f>
        <v/>
      </c>
      <c r="H133" s="456"/>
      <c r="I133" s="431" t="str">
        <f>IF(H133="&lt;12","BALFZ",IF(H133="12&lt;17","BAL40",IF(H133="17&lt;24","BAL29",IF(H133="24&lt;35","BAL19",IF(H133="35&lt;100","BAL12.5","")))))</f>
        <v/>
      </c>
      <c r="J133" s="456"/>
      <c r="K133" s="431" t="str">
        <f>IF(J133="&lt;14","BALFZ",IF(J133="14&lt;19","BAL40",IF(J133="19&lt;28","BAL29",IF(J133="28&lt;39","BAL19",IF(J133="39&lt;100","BAL12.5","")))))</f>
        <v/>
      </c>
      <c r="L133" s="456"/>
      <c r="M133" s="442" t="str">
        <f>IF(L133="&lt;15","BALFZ",IF(L133="15&lt;21","BAL40",IF(L133="21&lt;31","BAL29",IF(L133="31&lt;43","BAL19",IF(L133="43&lt;100","BAL12.5","")))))</f>
        <v/>
      </c>
      <c r="N133" s="433"/>
      <c r="O133" s="425" t="str">
        <f>IF(D133=0,"","Scrub")</f>
        <v/>
      </c>
      <c r="P133" s="425" t="str">
        <f>IF(F133=0,"","Scrub")</f>
        <v/>
      </c>
      <c r="Q133" s="425" t="str">
        <f>IF(H133=0,"","Scrub")</f>
        <v/>
      </c>
      <c r="R133" s="425" t="str">
        <f>IF(J133=0,"","Scrub")</f>
        <v/>
      </c>
      <c r="S133" s="425" t="str">
        <f>IF(L133=0,"","Scrub")</f>
        <v/>
      </c>
    </row>
    <row r="134" spans="1:19" s="461" customFormat="1" ht="18.75" hidden="1" x14ac:dyDescent="0.3">
      <c r="A134" s="499"/>
      <c r="B134" s="463" t="s">
        <v>1331</v>
      </c>
      <c r="C134" s="464"/>
      <c r="D134" s="465" t="str">
        <f>E133</f>
        <v/>
      </c>
      <c r="E134" s="469"/>
      <c r="F134" s="465" t="str">
        <f>G133</f>
        <v/>
      </c>
      <c r="G134" s="467"/>
      <c r="H134" s="468" t="str">
        <f>I133</f>
        <v/>
      </c>
      <c r="I134" s="469"/>
      <c r="J134" s="468" t="str">
        <f>K133</f>
        <v/>
      </c>
      <c r="K134" s="469"/>
      <c r="L134" s="468" t="str">
        <f>M133</f>
        <v/>
      </c>
      <c r="M134" s="458"/>
      <c r="N134" s="459"/>
      <c r="O134" s="425" t="str">
        <f>IF(D134=0,"","Forests")</f>
        <v>Forests</v>
      </c>
      <c r="P134" s="425" t="str">
        <f>IF(F134=0,"","Forests")</f>
        <v>Forests</v>
      </c>
      <c r="Q134" s="425" t="str">
        <f>IF(H134=0,"","Forests")</f>
        <v>Forests</v>
      </c>
      <c r="R134" s="425" t="str">
        <f>IF(J134=0,"","Forests")</f>
        <v>Forests</v>
      </c>
      <c r="S134" s="425" t="str">
        <f>IF(L134=0,"","Forests")</f>
        <v>Forests</v>
      </c>
    </row>
    <row r="135" spans="1:19" s="461" customFormat="1" hidden="1" x14ac:dyDescent="0.25">
      <c r="A135" s="499"/>
      <c r="B135" s="470" t="s">
        <v>1349</v>
      </c>
      <c r="C135" s="471"/>
      <c r="D135" s="472" t="str">
        <f>IF(LEFT(E133,3)="BAL",15,"")</f>
        <v/>
      </c>
      <c r="E135" s="469"/>
      <c r="F135" s="473" t="str">
        <f>IF(LEFT(G133,3)="BAL",15,"")</f>
        <v/>
      </c>
      <c r="G135" s="467"/>
      <c r="H135" s="474" t="str">
        <f>IF(LEFT(I133,3)="BAL",20,"")</f>
        <v/>
      </c>
      <c r="I135" s="469"/>
      <c r="J135" s="474" t="str">
        <f>IF(LEFT(K133,3)="BAL",20,"")</f>
        <v/>
      </c>
      <c r="K135" s="469"/>
      <c r="L135" s="474" t="str">
        <f>IF(LEFT(M133,3)="BAL",20,"")</f>
        <v/>
      </c>
      <c r="M135" s="458"/>
      <c r="N135" s="459"/>
      <c r="O135" s="425" t="str">
        <f>IF(D135=0,"","Forests")</f>
        <v>Forests</v>
      </c>
      <c r="P135" s="425" t="str">
        <f>IF(F135=0,"","Forests")</f>
        <v>Forests</v>
      </c>
      <c r="Q135" s="425" t="str">
        <f>IF(H135=0,"","Forests")</f>
        <v>Forests</v>
      </c>
      <c r="R135" s="425" t="str">
        <f>IF(J135=0,"","Forests")</f>
        <v>Forests</v>
      </c>
      <c r="S135" s="425" t="str">
        <f>IF(L135=0,"","Forests")</f>
        <v>Forests</v>
      </c>
    </row>
    <row r="136" spans="1:19" s="461" customFormat="1" hidden="1" x14ac:dyDescent="0.25">
      <c r="A136" s="499"/>
      <c r="B136" s="470" t="s">
        <v>1350</v>
      </c>
      <c r="C136" s="471"/>
      <c r="D136" s="473" t="str">
        <f>IF(LEFT(E133,3)="BAL",15,"")</f>
        <v/>
      </c>
      <c r="E136" s="469"/>
      <c r="F136" s="473" t="str">
        <f>IF(LEFT(G133,3)="BAL",15,"")</f>
        <v/>
      </c>
      <c r="G136" s="467"/>
      <c r="H136" s="474" t="str">
        <f>IF(LEFT(I133,3)="BAL",20,"")</f>
        <v/>
      </c>
      <c r="I136" s="469"/>
      <c r="J136" s="474" t="str">
        <f>IF(LEFT(K133,3)="BAL",20,"")</f>
        <v/>
      </c>
      <c r="K136" s="469"/>
      <c r="L136" s="474" t="str">
        <f>IF(LEFT(M133,3)="BAL",20,"")</f>
        <v/>
      </c>
      <c r="M136" s="458"/>
      <c r="N136" s="459"/>
      <c r="O136" s="425" t="str">
        <f>IF(D136=0,"","Forests")</f>
        <v>Forests</v>
      </c>
      <c r="P136" s="425" t="str">
        <f>IF(F136=0,"","Forests")</f>
        <v>Forests</v>
      </c>
      <c r="Q136" s="425" t="str">
        <f>IF(H136=0,"","Forests")</f>
        <v>Forests</v>
      </c>
      <c r="R136" s="425" t="str">
        <f>IF(J136=0,"","Forests")</f>
        <v>Forests</v>
      </c>
      <c r="S136" s="425" t="str">
        <f>IF(L136=0,"","Forests")</f>
        <v>Forests</v>
      </c>
    </row>
    <row r="137" spans="1:19" s="461" customFormat="1" hidden="1" x14ac:dyDescent="0.25">
      <c r="A137" s="499"/>
      <c r="B137" s="470" t="s">
        <v>1351</v>
      </c>
      <c r="C137" s="471"/>
      <c r="D137" s="473" t="str">
        <f>IF(LEFT(E133,3)="BAL",0,"")</f>
        <v/>
      </c>
      <c r="E137" s="469"/>
      <c r="F137" s="473" t="str">
        <f>IF(LEFT(G133,3)="BAL",0,"")</f>
        <v/>
      </c>
      <c r="G137" s="467"/>
      <c r="H137" s="474" t="str">
        <f>IF(LEFT(I133,3)="BAL",0,"")</f>
        <v/>
      </c>
      <c r="I137" s="469"/>
      <c r="J137" s="474" t="str">
        <f>IF(LEFT(K133,3)="BAL",0,"")</f>
        <v/>
      </c>
      <c r="K137" s="469"/>
      <c r="L137" s="474" t="str">
        <f>IF(LEFT(M133,3)="BAL",0,"")</f>
        <v/>
      </c>
      <c r="M137" s="458"/>
      <c r="N137" s="459"/>
      <c r="O137" s="425" t="str">
        <f>IF(D137=0,"","Forests")</f>
        <v>Forests</v>
      </c>
      <c r="P137" s="425" t="str">
        <f>IF(F137=0,"","Forests")</f>
        <v>Forests</v>
      </c>
      <c r="Q137" s="425" t="str">
        <f>IF(H137=0,"","Forests")</f>
        <v>Forests</v>
      </c>
      <c r="R137" s="425" t="str">
        <f>IF(J137=0,"","Forests")</f>
        <v>Forests</v>
      </c>
      <c r="S137" s="425" t="str">
        <f>IF(L137=0,"","Forests")</f>
        <v>Forests</v>
      </c>
    </row>
    <row r="138" spans="1:19" ht="6" customHeight="1" x14ac:dyDescent="0.3">
      <c r="A138" s="427"/>
      <c r="B138" s="504"/>
      <c r="C138" s="504"/>
      <c r="D138" s="505"/>
      <c r="E138" s="506"/>
      <c r="F138" s="505"/>
      <c r="G138" s="507"/>
      <c r="H138" s="508"/>
      <c r="I138" s="506"/>
      <c r="J138" s="508"/>
      <c r="K138" s="506"/>
      <c r="L138" s="508"/>
      <c r="M138" s="442"/>
      <c r="N138" s="448"/>
      <c r="O138" s="425"/>
      <c r="P138" s="425"/>
      <c r="Q138" s="425"/>
      <c r="R138" s="425"/>
      <c r="S138" s="425"/>
    </row>
    <row r="139" spans="1:19" s="390" customFormat="1" hidden="1" x14ac:dyDescent="0.25">
      <c r="A139" s="501"/>
      <c r="B139" s="470" t="s">
        <v>1352</v>
      </c>
      <c r="C139" s="475"/>
      <c r="D139" s="473" t="str">
        <f>IF(LEFT(E133,3)="BAL",10,"")</f>
        <v/>
      </c>
      <c r="E139" s="469"/>
      <c r="F139" s="473" t="str">
        <f>IF(LEFT(G133,3)="BAL",10,"")</f>
        <v/>
      </c>
      <c r="G139" s="467"/>
      <c r="H139" s="474" t="str">
        <f>IF(LEFT(I133,3)="BAL",10,"")</f>
        <v/>
      </c>
      <c r="I139" s="469"/>
      <c r="J139" s="474" t="str">
        <f>IF(LEFT(K133,3)="BAL",15,"")</f>
        <v/>
      </c>
      <c r="K139" s="469"/>
      <c r="L139" s="474" t="str">
        <f>IF(LEFT(M133,3)="BAL",15,"")</f>
        <v/>
      </c>
      <c r="M139" s="442"/>
      <c r="N139" s="433"/>
      <c r="O139" s="425" t="str">
        <f>IF(D139=0,"","Forests")</f>
        <v>Forests</v>
      </c>
      <c r="P139" s="425" t="str">
        <f>IF(F139=0,"","Forests")</f>
        <v>Forests</v>
      </c>
      <c r="Q139" s="425" t="str">
        <f>IF(H139=0,"","Forests")</f>
        <v>Forests</v>
      </c>
      <c r="R139" s="425" t="str">
        <f>IF(J139=0,"","Forests")</f>
        <v>Forests</v>
      </c>
      <c r="S139" s="425" t="str">
        <f>IF(L139=0,"","Forests")</f>
        <v>Forests</v>
      </c>
    </row>
    <row r="140" spans="1:19" s="390" customFormat="1" hidden="1" x14ac:dyDescent="0.25">
      <c r="A140" s="501"/>
      <c r="B140" s="470" t="s">
        <v>1353</v>
      </c>
      <c r="C140" s="475"/>
      <c r="D140" s="473" t="str">
        <f>IF(LEFT(E133,3)="BAL",10,"")</f>
        <v/>
      </c>
      <c r="E140" s="469"/>
      <c r="F140" s="473" t="str">
        <f>IF(LEFT(G133,3)="BAL",10,"")</f>
        <v/>
      </c>
      <c r="G140" s="467"/>
      <c r="H140" s="474" t="str">
        <f>IF(LEFT(I133,3)="BAL",10,"")</f>
        <v/>
      </c>
      <c r="I140" s="469"/>
      <c r="J140" s="474" t="str">
        <f>IF(LEFT(K133,3)="BAL",15,"")</f>
        <v/>
      </c>
      <c r="K140" s="469"/>
      <c r="L140" s="474" t="str">
        <f>IF(LEFT(M133,3)="BAL",15,"")</f>
        <v/>
      </c>
      <c r="M140" s="442"/>
      <c r="N140" s="433"/>
      <c r="O140" s="425" t="str">
        <f>IF(D140=0,"","Forests")</f>
        <v>Forests</v>
      </c>
      <c r="P140" s="425" t="str">
        <f>IF(F140=0,"","Forests")</f>
        <v>Forests</v>
      </c>
      <c r="Q140" s="425" t="str">
        <f>IF(H140=0,"","Forests")</f>
        <v>Forests</v>
      </c>
      <c r="R140" s="425" t="str">
        <f>IF(J140=0,"","Forests")</f>
        <v>Forests</v>
      </c>
      <c r="S140" s="425" t="str">
        <f>IF(L140=0,"","Forests")</f>
        <v>Forests</v>
      </c>
    </row>
    <row r="141" spans="1:19" s="390" customFormat="1" hidden="1" x14ac:dyDescent="0.25">
      <c r="A141" s="501"/>
      <c r="B141" s="470" t="s">
        <v>1354</v>
      </c>
      <c r="C141" s="475"/>
      <c r="D141" s="473" t="str">
        <f>IF(LEFT(E133,3)="BAL",0,"")</f>
        <v/>
      </c>
      <c r="E141" s="469"/>
      <c r="F141" s="473" t="str">
        <f>IF(LEFT(G133,3)="BAL",0,"")</f>
        <v/>
      </c>
      <c r="G141" s="467"/>
      <c r="H141" s="474" t="str">
        <f>IF(LEFT(I133,3)="BAL",0,"")</f>
        <v/>
      </c>
      <c r="I141" s="469"/>
      <c r="J141" s="474" t="str">
        <f>IF(LEFT(K133,3)="BAL",0,"")</f>
        <v/>
      </c>
      <c r="K141" s="469"/>
      <c r="L141" s="474" t="str">
        <f>IF(LEFT(M133,3)="BAL",0,"")</f>
        <v/>
      </c>
      <c r="M141" s="442"/>
      <c r="N141" s="433"/>
      <c r="O141" s="425" t="str">
        <f>IF(D141=0,"","Forests")</f>
        <v>Forests</v>
      </c>
      <c r="P141" s="425" t="str">
        <f>IF(F141=0,"","Forests")</f>
        <v>Forests</v>
      </c>
      <c r="Q141" s="425" t="str">
        <f>IF(H141=0,"","Forests")</f>
        <v>Forests</v>
      </c>
      <c r="R141" s="425" t="str">
        <f>IF(J141=0,"","Forests")</f>
        <v>Forests</v>
      </c>
      <c r="S141" s="425" t="str">
        <f>IF(L141=0,"","Forests")</f>
        <v>Forests</v>
      </c>
    </row>
    <row r="142" spans="1:19" hidden="1" x14ac:dyDescent="0.25">
      <c r="A142" s="427"/>
      <c r="B142" s="443"/>
      <c r="C142" s="443"/>
      <c r="D142" s="444"/>
      <c r="E142" s="445"/>
      <c r="F142" s="444"/>
      <c r="G142" s="446"/>
      <c r="H142" s="447"/>
      <c r="I142" s="445"/>
      <c r="J142" s="447"/>
      <c r="K142" s="445"/>
      <c r="L142" s="447"/>
      <c r="M142" s="442"/>
      <c r="N142" s="433"/>
      <c r="O142" s="425" t="str">
        <f>IF(D142=0,"","Forests")</f>
        <v/>
      </c>
      <c r="P142" s="425" t="str">
        <f>IF(F142=0,"","Forests")</f>
        <v/>
      </c>
      <c r="Q142" s="425" t="str">
        <f>IF(H142=0,"","Forests")</f>
        <v/>
      </c>
      <c r="R142" s="425" t="str">
        <f>IF(J142=0,"","Forests")</f>
        <v/>
      </c>
      <c r="S142" s="425" t="str">
        <f>IF(L142=0,"","Forests")</f>
        <v/>
      </c>
    </row>
    <row r="143" spans="1:19" ht="18.75" x14ac:dyDescent="0.3">
      <c r="A143" s="427"/>
      <c r="B143" s="531" t="s">
        <v>1355</v>
      </c>
      <c r="C143" s="435"/>
      <c r="D143" s="452"/>
      <c r="E143" s="431" t="str">
        <f>IF(D143="&lt;6","BALFZ",IF(D143="6&lt;8","BAL40",IF(D143="8&lt;12","BAL29",IF(D143="13&lt;17","BAL19",IF(D143="17&lt;50","BAL12.5","")))))</f>
        <v/>
      </c>
      <c r="F143" s="452"/>
      <c r="G143" s="455" t="str">
        <f>IF(F143="&lt;7","BALFZ",IF(F143="7&lt;9","BAL40",IF(F143="9&lt;14","BAL29",IF(F143="14&lt;20","BAL19",IF(F143="20&lt;50","BAL12.5","")))))</f>
        <v/>
      </c>
      <c r="H143" s="456"/>
      <c r="I143" s="431" t="str">
        <f>IF(H143="&lt;8","BALFZ",IF(H143="8&lt;10","BAL40",IF(H143="10&lt;16","BAL29",IF(H143="16&lt;23","BAL19",IF(H143="23&lt;50","BAL12.5","")))))</f>
        <v/>
      </c>
      <c r="J143" s="456"/>
      <c r="K143" s="431" t="str">
        <f>IF(J143="&lt;9","BALFZ",IF(J143="9&lt;12","BAL40",IF(J143="12&lt;18","BAL29",IF(J143="18&lt;26","BAL19",IF(J143="26&lt;50","BAL12.5","")))))</f>
        <v/>
      </c>
      <c r="L143" s="456"/>
      <c r="M143" s="442" t="str">
        <f>IF(L143="&lt;10","BALFZ",IF(L143="10&lt;14","BAL40",IF(L143="14&lt;21","BAL29",IF(L143="21&lt;30","BAL19",IF(L143="30&lt;50","BAL12.5","")))))</f>
        <v/>
      </c>
      <c r="N143" s="433"/>
      <c r="O143" s="425" t="str">
        <f>IF(D143=0,"","Grassland")</f>
        <v/>
      </c>
      <c r="P143" s="425" t="str">
        <f>IF(F143=0,"","Grassland")</f>
        <v/>
      </c>
      <c r="Q143" s="425" t="str">
        <f>IF(H143=0,"","Grassland")</f>
        <v/>
      </c>
      <c r="R143" s="425" t="str">
        <f>IF(J143=0,"","Grassland")</f>
        <v/>
      </c>
      <c r="S143" s="425" t="str">
        <f>IF(L143=0,"","Grassland")</f>
        <v/>
      </c>
    </row>
    <row r="144" spans="1:19" s="461" customFormat="1" ht="18.75" hidden="1" x14ac:dyDescent="0.3">
      <c r="A144" s="499"/>
      <c r="B144" s="463" t="s">
        <v>1331</v>
      </c>
      <c r="C144" s="464"/>
      <c r="D144" s="465" t="str">
        <f>E143</f>
        <v/>
      </c>
      <c r="E144" s="469"/>
      <c r="F144" s="465" t="str">
        <f>G143</f>
        <v/>
      </c>
      <c r="G144" s="467"/>
      <c r="H144" s="468" t="str">
        <f>I143</f>
        <v/>
      </c>
      <c r="I144" s="469"/>
      <c r="J144" s="468" t="str">
        <f>K143</f>
        <v/>
      </c>
      <c r="K144" s="469"/>
      <c r="L144" s="468" t="str">
        <f>M143</f>
        <v/>
      </c>
      <c r="M144" s="458"/>
      <c r="N144" s="459"/>
      <c r="O144" s="474" t="str">
        <f>IF(LEFT(D144,3)="BAL","Grassland","")</f>
        <v/>
      </c>
      <c r="P144" s="474" t="str">
        <f>IF(LEFT(F144,3)="BAL","Grassland","")</f>
        <v/>
      </c>
      <c r="Q144" s="474" t="str">
        <f>IF(LEFT(H144,3)="BAL","Grassland","")</f>
        <v/>
      </c>
      <c r="R144" s="474" t="str">
        <f>IF(LEFT(J144,3)="BAL","Grassland","")</f>
        <v/>
      </c>
      <c r="S144" s="474" t="str">
        <f>IF(LEFT(L144,3)="BAL","Grassland","")</f>
        <v/>
      </c>
    </row>
    <row r="145" spans="1:33" s="461" customFormat="1" hidden="1" x14ac:dyDescent="0.25">
      <c r="A145" s="499"/>
      <c r="B145" s="470" t="s">
        <v>1341</v>
      </c>
      <c r="C145" s="471"/>
      <c r="D145" s="473" t="str">
        <f>IF(LEFT(E143,3)="BAL",10,"")</f>
        <v/>
      </c>
      <c r="E145" s="469"/>
      <c r="F145" s="473" t="str">
        <f>IF(LEFT(G143,3)="BAL",10,"")</f>
        <v/>
      </c>
      <c r="G145" s="467"/>
      <c r="H145" s="474" t="str">
        <f>IF(LEFT(I143,3)="BAL",10,"")</f>
        <v/>
      </c>
      <c r="I145" s="469"/>
      <c r="J145" s="474" t="str">
        <f>IF(LEFT(K143,3)="BAL",10,"")</f>
        <v/>
      </c>
      <c r="K145" s="469"/>
      <c r="L145" s="474" t="str">
        <f>IF(LEFT(M143,3)="BAL",10,"")</f>
        <v/>
      </c>
      <c r="M145" s="458"/>
      <c r="N145" s="459"/>
      <c r="O145" s="483" t="str">
        <f>IF(O144="Grassland","Grassland",IF(P144="Grassland","Grassland",IF(Q144="Grassland","Grassland",IF(R144="Grassland","Grassland",IF(S144="Grassland","Grassland","")))))</f>
        <v/>
      </c>
      <c r="P145" s="471"/>
      <c r="Q145" s="471"/>
      <c r="R145" s="471"/>
      <c r="S145" s="471"/>
    </row>
    <row r="146" spans="1:33" s="461" customFormat="1" hidden="1" x14ac:dyDescent="0.25">
      <c r="A146" s="499"/>
      <c r="B146" s="470" t="s">
        <v>1342</v>
      </c>
      <c r="C146" s="471"/>
      <c r="D146" s="473" t="str">
        <f>IF(LEFT(E143,3)="BAL",10,"")</f>
        <v/>
      </c>
      <c r="E146" s="469"/>
      <c r="F146" s="473" t="str">
        <f>IF(LEFT(G143,3)="BAL",10,"")</f>
        <v/>
      </c>
      <c r="G146" s="467"/>
      <c r="H146" s="474" t="str">
        <f>IF(LEFT(I143,3)="BAL",10,"")</f>
        <v/>
      </c>
      <c r="I146" s="469"/>
      <c r="J146" s="474" t="str">
        <f>IF(LEFT(K143,3)="BAL",10,"")</f>
        <v/>
      </c>
      <c r="K146" s="469"/>
      <c r="L146" s="474" t="str">
        <f>IF(LEFT(M143,3)="BAL",10,"")</f>
        <v/>
      </c>
      <c r="M146" s="458"/>
      <c r="N146" s="459"/>
      <c r="O146" s="471"/>
      <c r="P146" s="471"/>
      <c r="Q146" s="471"/>
      <c r="R146" s="471"/>
      <c r="S146" s="471"/>
    </row>
    <row r="147" spans="1:33" s="461" customFormat="1" hidden="1" x14ac:dyDescent="0.25">
      <c r="A147" s="499"/>
      <c r="B147" s="470" t="s">
        <v>1343</v>
      </c>
      <c r="C147" s="471"/>
      <c r="D147" s="473" t="str">
        <f>IF(LEFT(E143,3)="BAL",0,"")</f>
        <v/>
      </c>
      <c r="E147" s="469"/>
      <c r="F147" s="473" t="str">
        <f>IF(LEFT(G143,3)="BAL",0,"")</f>
        <v/>
      </c>
      <c r="G147" s="467"/>
      <c r="H147" s="474" t="str">
        <f>IF(LEFT(I143,3)="BAL",0,"")</f>
        <v/>
      </c>
      <c r="I147" s="469"/>
      <c r="J147" s="474" t="str">
        <f>IF(LEFT(K143,3)="BAL",0,"")</f>
        <v/>
      </c>
      <c r="K147" s="469"/>
      <c r="L147" s="474" t="str">
        <f>IF(LEFT(M143,3)="BAL",0,"")</f>
        <v/>
      </c>
      <c r="M147" s="458"/>
      <c r="N147" s="459"/>
      <c r="O147" s="471"/>
      <c r="P147" s="471"/>
      <c r="Q147" s="471"/>
      <c r="R147" s="471"/>
      <c r="S147" s="471"/>
    </row>
    <row r="148" spans="1:33" ht="6" customHeight="1" x14ac:dyDescent="0.25">
      <c r="A148" s="427"/>
      <c r="B148" s="443"/>
      <c r="C148" s="443"/>
      <c r="D148" s="444"/>
      <c r="E148" s="445"/>
      <c r="F148" s="444"/>
      <c r="G148" s="446"/>
      <c r="H148" s="447"/>
      <c r="I148" s="445"/>
      <c r="J148" s="447"/>
      <c r="K148" s="445"/>
      <c r="L148" s="447"/>
      <c r="M148" s="442"/>
      <c r="N148" s="448"/>
      <c r="O148" s="425"/>
      <c r="P148" s="425"/>
      <c r="Q148" s="425"/>
      <c r="R148" s="425"/>
      <c r="S148" s="425"/>
    </row>
    <row r="149" spans="1:33" ht="17.25" x14ac:dyDescent="0.3">
      <c r="A149" s="427"/>
      <c r="B149" s="515" t="s">
        <v>1356</v>
      </c>
      <c r="C149" s="435"/>
      <c r="D149" s="452"/>
      <c r="E149" s="431"/>
      <c r="F149" s="452"/>
      <c r="G149" s="455"/>
      <c r="H149" s="452"/>
      <c r="I149" s="431"/>
      <c r="J149" s="452"/>
      <c r="K149" s="485"/>
      <c r="L149" s="452"/>
      <c r="M149" s="442"/>
      <c r="N149" s="433"/>
      <c r="O149" s="425"/>
      <c r="P149" s="425"/>
      <c r="Q149" s="425"/>
      <c r="R149" s="425"/>
      <c r="S149" s="425"/>
    </row>
    <row r="150" spans="1:33" ht="6.75" customHeight="1" thickBot="1" x14ac:dyDescent="0.3">
      <c r="A150" s="486"/>
      <c r="B150" s="487"/>
      <c r="C150" s="487"/>
      <c r="D150" s="488"/>
      <c r="E150" s="489"/>
      <c r="F150" s="488"/>
      <c r="G150" s="490"/>
      <c r="H150" s="491"/>
      <c r="I150" s="492"/>
      <c r="J150" s="491"/>
      <c r="K150" s="493"/>
      <c r="L150" s="491"/>
      <c r="M150" s="494"/>
      <c r="N150" s="495"/>
      <c r="O150" s="425"/>
      <c r="P150" s="425"/>
      <c r="Q150" s="425"/>
      <c r="R150" s="425"/>
      <c r="S150" s="425"/>
    </row>
    <row r="151" spans="1:33" s="417" customFormat="1" ht="6" customHeight="1" thickBot="1" x14ac:dyDescent="0.3">
      <c r="B151" s="518"/>
      <c r="C151" s="518"/>
      <c r="D151" s="519"/>
      <c r="E151" s="520"/>
      <c r="F151" s="519"/>
      <c r="G151" s="420"/>
      <c r="H151" s="521"/>
      <c r="I151" s="422"/>
      <c r="J151" s="521"/>
      <c r="K151" s="423"/>
      <c r="L151" s="521"/>
      <c r="M151" s="442"/>
      <c r="N151" s="522"/>
      <c r="O151" s="425"/>
      <c r="P151" s="425"/>
      <c r="Q151" s="425"/>
      <c r="R151" s="425"/>
      <c r="S151" s="425"/>
      <c r="T151" s="390"/>
      <c r="U151" s="390"/>
      <c r="V151" s="390"/>
      <c r="W151" s="390"/>
      <c r="X151" s="390"/>
      <c r="Y151" s="390"/>
      <c r="Z151" s="390"/>
      <c r="AA151" s="390"/>
      <c r="AB151" s="390"/>
      <c r="AC151" s="390"/>
      <c r="AD151" s="390"/>
      <c r="AE151" s="390"/>
      <c r="AF151" s="390"/>
      <c r="AG151" s="390"/>
    </row>
    <row r="152" spans="1:33" ht="7.5" customHeight="1" x14ac:dyDescent="0.25">
      <c r="A152" s="426"/>
      <c r="B152" s="1091"/>
      <c r="C152" s="1091"/>
      <c r="D152" s="1091"/>
      <c r="E152" s="1091"/>
      <c r="F152" s="1091"/>
      <c r="G152" s="1091"/>
      <c r="H152" s="1091"/>
      <c r="I152" s="1091"/>
      <c r="J152" s="1091"/>
      <c r="K152" s="1091"/>
      <c r="L152" s="1091"/>
      <c r="M152" s="1091"/>
      <c r="N152" s="1092"/>
      <c r="O152" s="425"/>
      <c r="P152" s="425"/>
      <c r="Q152" s="425"/>
      <c r="R152" s="425"/>
      <c r="S152" s="425"/>
      <c r="Y152" s="382"/>
    </row>
    <row r="153" spans="1:33" ht="15.75" customHeight="1" x14ac:dyDescent="0.25">
      <c r="A153" s="427"/>
      <c r="B153" s="428" t="s">
        <v>1360</v>
      </c>
      <c r="C153" s="429"/>
      <c r="D153" s="523" t="s">
        <v>1321</v>
      </c>
      <c r="E153" s="431"/>
      <c r="F153" s="1093" t="s">
        <v>1322</v>
      </c>
      <c r="G153" s="1094"/>
      <c r="H153" s="1094"/>
      <c r="I153" s="1094"/>
      <c r="J153" s="1094"/>
      <c r="K153" s="1094"/>
      <c r="L153" s="1095"/>
      <c r="M153" s="432"/>
      <c r="N153" s="433"/>
      <c r="O153" s="425"/>
      <c r="P153" s="425"/>
      <c r="Q153" s="425"/>
      <c r="R153" s="425"/>
      <c r="S153" s="425"/>
    </row>
    <row r="154" spans="1:33" ht="16.5" customHeight="1" x14ac:dyDescent="0.25">
      <c r="A154" s="427"/>
      <c r="B154" s="434" t="s">
        <v>1323</v>
      </c>
      <c r="C154" s="435"/>
      <c r="D154" s="436" t="s">
        <v>1324</v>
      </c>
      <c r="E154" s="431"/>
      <c r="F154" s="437" t="s">
        <v>1325</v>
      </c>
      <c r="G154" s="438"/>
      <c r="H154" s="439" t="s">
        <v>1326</v>
      </c>
      <c r="I154" s="440"/>
      <c r="J154" s="439" t="s">
        <v>1327</v>
      </c>
      <c r="K154" s="440"/>
      <c r="L154" s="441" t="s">
        <v>1328</v>
      </c>
      <c r="M154" s="442"/>
      <c r="N154" s="433"/>
      <c r="O154" s="425"/>
      <c r="P154" s="425"/>
      <c r="Q154" s="425"/>
      <c r="R154" s="425"/>
      <c r="S154" s="425"/>
    </row>
    <row r="155" spans="1:33" ht="6" customHeight="1" x14ac:dyDescent="0.25">
      <c r="A155" s="427"/>
      <c r="B155" s="532"/>
      <c r="C155" s="443"/>
      <c r="D155" s="444"/>
      <c r="E155" s="445"/>
      <c r="F155" s="444"/>
      <c r="G155" s="446"/>
      <c r="H155" s="447"/>
      <c r="I155" s="445"/>
      <c r="J155" s="447"/>
      <c r="K155" s="445"/>
      <c r="L155" s="447"/>
      <c r="M155" s="530"/>
      <c r="N155" s="448"/>
      <c r="O155" s="425"/>
      <c r="P155" s="425"/>
      <c r="Q155" s="425"/>
      <c r="R155" s="425"/>
      <c r="S155" s="425"/>
    </row>
    <row r="156" spans="1:33" ht="18.75" x14ac:dyDescent="0.3">
      <c r="A156" s="427"/>
      <c r="B156" s="450" t="s">
        <v>1329</v>
      </c>
      <c r="C156" s="435"/>
      <c r="D156" s="452"/>
      <c r="E156" s="453" t="str">
        <f>IF(D156="&lt;16","BALFZ",IF(D156="16&lt;21","BAL40",IF(D156="21&lt;31","BAL29",IF(D156="31&lt;42","BAL19",IF(D156="42&lt;100","BAL12.5","")))))</f>
        <v/>
      </c>
      <c r="F156" s="454"/>
      <c r="G156" s="455" t="str">
        <f>IF(F156="&lt;20","BALFZ",IF(F156="20&lt;27","BAL40",IF(F156="27&lt;37","BAL29",IF(F156="37&lt;50","BAL19",IF(F156="50&lt;100","BAL12.5","")))))</f>
        <v/>
      </c>
      <c r="H156" s="456"/>
      <c r="I156" s="457" t="str">
        <f>IF(H156="&lt;26","BALFZ",IF(H156="26&lt;33","BAL40",IF(H156="33&lt;46","BAL29",IF(H156="46&lt;61","BAL19",IF(H156="61&lt;100","BAL12.5","")))))</f>
        <v/>
      </c>
      <c r="J156" s="456"/>
      <c r="K156" s="457" t="str">
        <f>IF(J156="&lt;33","BALFZ",IF(J156="33&lt;42","BAL40",IF(J156="42&lt;56","BAL29",IF(J156="56&lt;73","BAL19",IF(J156="73&lt;100","BAL12.5","")))))</f>
        <v/>
      </c>
      <c r="L156" s="456"/>
      <c r="M156" s="442" t="str">
        <f>IF(L156="&lt;42","BALFZ",IF(L156="42&lt;52","BAL40",IF(L156="52&lt;68","BAL29",IF(L156="68&lt;87","BAL19",IF(L156="87&lt;100","BAL12.5","")))))</f>
        <v/>
      </c>
      <c r="N156" s="433"/>
      <c r="O156" s="425" t="str">
        <f>IF(D156=0,"","Forests")</f>
        <v/>
      </c>
      <c r="P156" s="425" t="str">
        <f>IF(F156=0,"","Forests")</f>
        <v/>
      </c>
      <c r="Q156" s="425" t="str">
        <f>IF(H156=0,"","Forests")</f>
        <v/>
      </c>
      <c r="R156" s="425" t="str">
        <f>IF(J156=0,"","Forests")</f>
        <v/>
      </c>
      <c r="S156" s="425" t="str">
        <f>IF(L156=0,"","Forests")</f>
        <v/>
      </c>
      <c r="T156" s="390" t="s">
        <v>1330</v>
      </c>
      <c r="U156" s="425"/>
      <c r="X156" s="533"/>
      <c r="Y156" s="533"/>
      <c r="Z156" s="533"/>
      <c r="AA156" s="533"/>
      <c r="AB156" s="533"/>
    </row>
    <row r="157" spans="1:33" s="461" customFormat="1" ht="18.75" hidden="1" x14ac:dyDescent="0.3">
      <c r="A157" s="499"/>
      <c r="B157" s="463" t="s">
        <v>1331</v>
      </c>
      <c r="C157" s="464"/>
      <c r="D157" s="465" t="str">
        <f>E156</f>
        <v/>
      </c>
      <c r="E157" s="466"/>
      <c r="F157" s="465" t="str">
        <f>G156</f>
        <v/>
      </c>
      <c r="G157" s="467"/>
      <c r="H157" s="468" t="str">
        <f>I156</f>
        <v/>
      </c>
      <c r="I157" s="469"/>
      <c r="J157" s="468" t="str">
        <f>K156</f>
        <v/>
      </c>
      <c r="K157" s="469"/>
      <c r="L157" s="468" t="str">
        <f>M156</f>
        <v/>
      </c>
      <c r="M157" s="458"/>
      <c r="N157" s="459"/>
      <c r="O157" s="425" t="str">
        <f t="shared" ref="O157:O187" si="1">IF(D157=0,"","Forests")</f>
        <v>Forests</v>
      </c>
      <c r="P157" s="425" t="str">
        <f t="shared" ref="P157:P187" si="2">IF(F157=0,"","Forests")</f>
        <v>Forests</v>
      </c>
      <c r="Q157" s="425" t="str">
        <f t="shared" ref="Q157:Q187" si="3">IF(H157=0,"","Forests")</f>
        <v>Forests</v>
      </c>
      <c r="R157" s="425" t="str">
        <f t="shared" ref="R157:R187" si="4">IF(J157=0,"","Forests")</f>
        <v>Forests</v>
      </c>
      <c r="S157" s="425" t="str">
        <f t="shared" ref="S157:S187" si="5">IF(L157=0,"","Forests")</f>
        <v>Forests</v>
      </c>
    </row>
    <row r="158" spans="1:33" s="461" customFormat="1" hidden="1" x14ac:dyDescent="0.25">
      <c r="A158" s="499"/>
      <c r="B158" s="470" t="s">
        <v>1358</v>
      </c>
      <c r="C158" s="471"/>
      <c r="D158" s="472" t="str">
        <f>IF(LEFT(E156,3)="BAL",20,"")</f>
        <v/>
      </c>
      <c r="E158" s="469"/>
      <c r="F158" s="473" t="str">
        <f>IF(LEFT(G156,3)="BAL",20,"")</f>
        <v/>
      </c>
      <c r="G158" s="467"/>
      <c r="H158" s="474" t="str">
        <f>IF(LEFT(I156,3)="BAL",30,"")</f>
        <v/>
      </c>
      <c r="I158" s="469"/>
      <c r="J158" s="474" t="str">
        <f>IF(LEFT(K156,3)="BAL",40,"")</f>
        <v/>
      </c>
      <c r="K158" s="469"/>
      <c r="L158" s="474" t="str">
        <f>IF(LEFT(M156,3)="BAL",45,"")</f>
        <v/>
      </c>
      <c r="M158" s="458"/>
      <c r="N158" s="459"/>
      <c r="O158" s="425" t="str">
        <f t="shared" si="1"/>
        <v>Forests</v>
      </c>
      <c r="P158" s="425" t="str">
        <f t="shared" si="2"/>
        <v>Forests</v>
      </c>
      <c r="Q158" s="425" t="str">
        <f t="shared" si="3"/>
        <v>Forests</v>
      </c>
      <c r="R158" s="425" t="str">
        <f t="shared" si="4"/>
        <v>Forests</v>
      </c>
      <c r="S158" s="425" t="str">
        <f t="shared" si="5"/>
        <v>Forests</v>
      </c>
    </row>
    <row r="159" spans="1:33" s="461" customFormat="1" hidden="1" x14ac:dyDescent="0.25">
      <c r="A159" s="499"/>
      <c r="B159" s="470" t="s">
        <v>1333</v>
      </c>
      <c r="C159" s="471"/>
      <c r="D159" s="473" t="str">
        <f>IF(LEFT(E156,3)="BAL",10,"")</f>
        <v/>
      </c>
      <c r="E159" s="469"/>
      <c r="F159" s="473" t="str">
        <f>IF(LEFT(G156,3)="BAL",15,"")</f>
        <v/>
      </c>
      <c r="G159" s="467"/>
      <c r="H159" s="474" t="str">
        <f>IF(LEFT(I156,3)="BAL",15,"")</f>
        <v/>
      </c>
      <c r="I159" s="469"/>
      <c r="J159" s="474" t="str">
        <f>IF(LEFT(K156,3)="BAL",20,"")</f>
        <v/>
      </c>
      <c r="K159" s="469"/>
      <c r="L159" s="474" t="str">
        <f>IF(LEFT(M156,3)="BAL",25,"")</f>
        <v/>
      </c>
      <c r="M159" s="458"/>
      <c r="N159" s="459"/>
      <c r="O159" s="425" t="str">
        <f t="shared" si="1"/>
        <v>Forests</v>
      </c>
      <c r="P159" s="425" t="str">
        <f t="shared" si="2"/>
        <v>Forests</v>
      </c>
      <c r="Q159" s="425" t="str">
        <f t="shared" si="3"/>
        <v>Forests</v>
      </c>
      <c r="R159" s="425" t="str">
        <f t="shared" si="4"/>
        <v>Forests</v>
      </c>
      <c r="S159" s="425" t="str">
        <f t="shared" si="5"/>
        <v>Forests</v>
      </c>
    </row>
    <row r="160" spans="1:33" s="461" customFormat="1" hidden="1" x14ac:dyDescent="0.25">
      <c r="A160" s="499"/>
      <c r="B160" s="470" t="s">
        <v>1334</v>
      </c>
      <c r="C160" s="471"/>
      <c r="D160" s="473" t="str">
        <f>IF(LEFT(E156,3)="BAL",10,"")</f>
        <v/>
      </c>
      <c r="E160" s="469"/>
      <c r="F160" s="473" t="str">
        <f>IF(LEFT(G156,3)="BAL",5,"")</f>
        <v/>
      </c>
      <c r="G160" s="467"/>
      <c r="H160" s="474" t="str">
        <f>IF(LEFT(I156,3)="BAL",15,"")</f>
        <v/>
      </c>
      <c r="I160" s="469"/>
      <c r="J160" s="474" t="str">
        <f>IF(LEFT(K156,3)="BAL",20,"")</f>
        <v/>
      </c>
      <c r="K160" s="469"/>
      <c r="L160" s="474" t="str">
        <f>IF(LEFT(M156,3)="BAL",20,"")</f>
        <v/>
      </c>
      <c r="M160" s="458"/>
      <c r="N160" s="459"/>
      <c r="O160" s="425" t="str">
        <f t="shared" si="1"/>
        <v>Forests</v>
      </c>
      <c r="P160" s="425" t="str">
        <f t="shared" si="2"/>
        <v>Forests</v>
      </c>
      <c r="Q160" s="425" t="str">
        <f t="shared" si="3"/>
        <v>Forests</v>
      </c>
      <c r="R160" s="425" t="str">
        <f t="shared" si="4"/>
        <v>Forests</v>
      </c>
      <c r="S160" s="425" t="str">
        <f t="shared" si="5"/>
        <v>Forests</v>
      </c>
    </row>
    <row r="161" spans="1:28" hidden="1" x14ac:dyDescent="0.25">
      <c r="A161" s="427"/>
      <c r="B161" s="443"/>
      <c r="C161" s="443"/>
      <c r="D161" s="444"/>
      <c r="E161" s="445"/>
      <c r="F161" s="444"/>
      <c r="G161" s="446"/>
      <c r="H161" s="447"/>
      <c r="I161" s="445"/>
      <c r="J161" s="447"/>
      <c r="K161" s="445"/>
      <c r="L161" s="447"/>
      <c r="M161" s="442"/>
      <c r="N161" s="433"/>
      <c r="O161" s="425"/>
      <c r="P161" s="425"/>
      <c r="Q161" s="425"/>
      <c r="R161" s="425"/>
      <c r="S161" s="425"/>
      <c r="T161" s="390" t="s">
        <v>1335</v>
      </c>
    </row>
    <row r="162" spans="1:28" s="390" customFormat="1" hidden="1" x14ac:dyDescent="0.25">
      <c r="A162" s="501"/>
      <c r="B162" s="470" t="s">
        <v>1336</v>
      </c>
      <c r="C162" s="475"/>
      <c r="D162" s="476" t="str">
        <f>IF(LEFT(E156,3)="BAL",15,"")</f>
        <v/>
      </c>
      <c r="E162" s="477"/>
      <c r="F162" s="478" t="str">
        <f>IF(LEFT(G156,3)="BAL",20,"")</f>
        <v/>
      </c>
      <c r="G162" s="467"/>
      <c r="H162" s="479" t="str">
        <f>IF(LEFT(I156,3)="BAL",25,"")</f>
        <v/>
      </c>
      <c r="I162" s="477"/>
      <c r="J162" s="479" t="str">
        <f>IF(LEFT(K156,3)="BAL",35,"")</f>
        <v/>
      </c>
      <c r="K162" s="477"/>
      <c r="L162" s="479" t="str">
        <f>IF(LEFT(M156,3)="BAL",40,"")</f>
        <v/>
      </c>
      <c r="M162" s="442"/>
      <c r="N162" s="433"/>
      <c r="O162" s="425" t="str">
        <f t="shared" si="1"/>
        <v>Forests</v>
      </c>
      <c r="P162" s="425" t="str">
        <f t="shared" si="2"/>
        <v>Forests</v>
      </c>
      <c r="Q162" s="425" t="str">
        <f t="shared" si="3"/>
        <v>Forests</v>
      </c>
      <c r="R162" s="425" t="str">
        <f t="shared" si="4"/>
        <v>Forests</v>
      </c>
      <c r="S162" s="425" t="str">
        <f t="shared" si="5"/>
        <v>Forests</v>
      </c>
    </row>
    <row r="163" spans="1:28" s="390" customFormat="1" hidden="1" x14ac:dyDescent="0.25">
      <c r="A163" s="501"/>
      <c r="B163" s="470" t="s">
        <v>1337</v>
      </c>
      <c r="C163" s="475"/>
      <c r="D163" s="480" t="str">
        <f>IF(LEFT(E156,3)="BAL",15,"")</f>
        <v/>
      </c>
      <c r="E163" s="477"/>
      <c r="F163" s="478" t="str">
        <f>IF(LEFT(G156,3)="BAL",20,"")</f>
        <v/>
      </c>
      <c r="G163" s="467"/>
      <c r="H163" s="479" t="str">
        <f>IF(LEFT(I156,3)="BAL",25,"")</f>
        <v/>
      </c>
      <c r="I163" s="477"/>
      <c r="J163" s="479" t="str">
        <f>IF(LEFT(K156,3)="BAL",35,"")</f>
        <v/>
      </c>
      <c r="K163" s="477"/>
      <c r="L163" s="479" t="str">
        <f>IF(LEFT(M156,3)="BAL",40,"")</f>
        <v/>
      </c>
      <c r="M163" s="442"/>
      <c r="N163" s="433"/>
      <c r="O163" s="425" t="str">
        <f t="shared" si="1"/>
        <v>Forests</v>
      </c>
      <c r="P163" s="425" t="str">
        <f t="shared" si="2"/>
        <v>Forests</v>
      </c>
      <c r="Q163" s="425" t="str">
        <f t="shared" si="3"/>
        <v>Forests</v>
      </c>
      <c r="R163" s="425" t="str">
        <f t="shared" si="4"/>
        <v>Forests</v>
      </c>
      <c r="S163" s="425" t="str">
        <f t="shared" si="5"/>
        <v>Forests</v>
      </c>
    </row>
    <row r="164" spans="1:28" s="390" customFormat="1" hidden="1" x14ac:dyDescent="0.25">
      <c r="A164" s="501"/>
      <c r="B164" s="470" t="s">
        <v>1338</v>
      </c>
      <c r="C164" s="475"/>
      <c r="D164" s="478" t="str">
        <f>IF(LEFT(E156,3)="BAL",0,"")</f>
        <v/>
      </c>
      <c r="E164" s="477"/>
      <c r="F164" s="478" t="str">
        <f>IF(LEFT(G156,3)="BAL",0,"")</f>
        <v/>
      </c>
      <c r="G164" s="467"/>
      <c r="H164" s="479" t="str">
        <f>IF(LEFT(I156,3)="BAL",0,"")</f>
        <v/>
      </c>
      <c r="I164" s="477"/>
      <c r="J164" s="479" t="str">
        <f>IF(LEFT(K156,3)="BAL",0,"")</f>
        <v/>
      </c>
      <c r="K164" s="477"/>
      <c r="L164" s="479" t="str">
        <f>IF(LEFT(M156,3)="BAL",0,"")</f>
        <v/>
      </c>
      <c r="M164" s="442"/>
      <c r="N164" s="433"/>
      <c r="O164" s="425" t="str">
        <f t="shared" si="1"/>
        <v>Forests</v>
      </c>
      <c r="P164" s="425" t="str">
        <f t="shared" si="2"/>
        <v>Forests</v>
      </c>
      <c r="Q164" s="425" t="str">
        <f t="shared" si="3"/>
        <v>Forests</v>
      </c>
      <c r="R164" s="425" t="str">
        <f t="shared" si="4"/>
        <v>Forests</v>
      </c>
      <c r="S164" s="425" t="str">
        <f t="shared" si="5"/>
        <v>Forests</v>
      </c>
    </row>
    <row r="165" spans="1:28" ht="6" customHeight="1" x14ac:dyDescent="0.25">
      <c r="A165" s="427"/>
      <c r="B165" s="443"/>
      <c r="C165" s="443"/>
      <c r="D165" s="444"/>
      <c r="E165" s="445"/>
      <c r="F165" s="444"/>
      <c r="G165" s="446"/>
      <c r="H165" s="447"/>
      <c r="I165" s="445"/>
      <c r="J165" s="447"/>
      <c r="K165" s="445"/>
      <c r="L165" s="447"/>
      <c r="M165" s="442"/>
      <c r="N165" s="448"/>
      <c r="O165" s="425" t="str">
        <f t="shared" si="1"/>
        <v/>
      </c>
      <c r="P165" s="425" t="str">
        <f t="shared" si="2"/>
        <v/>
      </c>
      <c r="Q165" s="425" t="str">
        <f t="shared" si="3"/>
        <v/>
      </c>
      <c r="R165" s="425" t="str">
        <f t="shared" si="4"/>
        <v/>
      </c>
      <c r="S165" s="425" t="str">
        <f t="shared" si="5"/>
        <v/>
      </c>
    </row>
    <row r="166" spans="1:28" ht="18.75" x14ac:dyDescent="0.3">
      <c r="A166" s="427"/>
      <c r="B166" s="450" t="s">
        <v>1339</v>
      </c>
      <c r="C166" s="435"/>
      <c r="D166" s="452"/>
      <c r="E166" s="534" t="str">
        <f>IF(D166="&lt;10","BALFZ",IF(D166="10&lt;14","BAL40",IF(D166="14&lt;20","BAL29",IF(D166="20&lt;29","BAL19",IF(D166="29&lt;100","BAL12.5","")))))</f>
        <v/>
      </c>
      <c r="F166" s="535"/>
      <c r="G166" s="455" t="str">
        <f>IF(F166="&lt;13","BALFZ",IF(F166="13&lt;17","BAL40",IF(F166="17&lt;25","BAL29",IF(F166="25&lt;35","BAL19",IF(F166="35&lt;100","BAL12.5","")))))</f>
        <v/>
      </c>
      <c r="H166" s="456"/>
      <c r="I166" s="431" t="str">
        <f>IF(H166="&lt;16","BALFZ",IF(H166="16&lt;22","BAL40",IF(H166="22&lt;31","BAL29",IF(H166="31&lt;43","BAL19",IF(H166="43&lt;100","BAL12.5","")))))</f>
        <v/>
      </c>
      <c r="J166" s="456"/>
      <c r="K166" s="431" t="str">
        <f>IF(J166="&lt;21","BALFZ",IF(J166="21&lt;28","BAL40",IF(J166="28&lt;39","BAL29",IF(J166="39&lt;53","BAL19",IF(J166="53&lt;100","BAL12.5","")))))</f>
        <v/>
      </c>
      <c r="L166" s="456"/>
      <c r="M166" s="442" t="str">
        <f>IF(L166="&lt;27","BALFZ",IF(L166="27&lt;35","BAL40",IF(L166="35&lt;48","BAL29",IF(L166="48&lt;64","BAL19",IF(L166="64&lt;100","BAL12.5","")))))</f>
        <v/>
      </c>
      <c r="N166" s="433"/>
      <c r="O166" s="425" t="str">
        <f>IF(D166=0,"","Woodlands")</f>
        <v/>
      </c>
      <c r="P166" s="425" t="str">
        <f>IF(F166=0,"","Woodlands")</f>
        <v/>
      </c>
      <c r="Q166" s="425" t="str">
        <f>IF(H166=0,"","Woodlands")</f>
        <v/>
      </c>
      <c r="R166" s="425" t="str">
        <f>IF(J166=0,"","Woodlands")</f>
        <v/>
      </c>
      <c r="S166" s="425" t="str">
        <f>IF(L166=0,"","Woodlands")</f>
        <v/>
      </c>
      <c r="T166" s="390" t="s">
        <v>1340</v>
      </c>
      <c r="X166" s="533"/>
      <c r="Y166" s="533"/>
      <c r="Z166" s="533"/>
      <c r="AA166" s="533"/>
      <c r="AB166" s="533"/>
    </row>
    <row r="167" spans="1:28" s="461" customFormat="1" ht="18.75" hidden="1" x14ac:dyDescent="0.3">
      <c r="A167" s="499"/>
      <c r="B167" s="463" t="s">
        <v>1331</v>
      </c>
      <c r="C167" s="464"/>
      <c r="D167" s="465" t="str">
        <f>E166</f>
        <v/>
      </c>
      <c r="E167" s="469"/>
      <c r="F167" s="465" t="str">
        <f>G166</f>
        <v/>
      </c>
      <c r="G167" s="467"/>
      <c r="H167" s="468" t="str">
        <f>I166</f>
        <v/>
      </c>
      <c r="I167" s="469"/>
      <c r="J167" s="468" t="str">
        <f>K166</f>
        <v/>
      </c>
      <c r="K167" s="469"/>
      <c r="L167" s="468" t="str">
        <f>M166</f>
        <v/>
      </c>
      <c r="M167" s="458"/>
      <c r="N167" s="459"/>
      <c r="O167" s="425" t="str">
        <f t="shared" si="1"/>
        <v>Forests</v>
      </c>
      <c r="P167" s="425" t="str">
        <f t="shared" si="2"/>
        <v>Forests</v>
      </c>
      <c r="Q167" s="425" t="str">
        <f t="shared" si="3"/>
        <v>Forests</v>
      </c>
      <c r="R167" s="425" t="str">
        <f t="shared" si="4"/>
        <v>Forests</v>
      </c>
      <c r="S167" s="425" t="str">
        <f t="shared" si="5"/>
        <v>Forests</v>
      </c>
    </row>
    <row r="168" spans="1:28" s="461" customFormat="1" hidden="1" x14ac:dyDescent="0.25">
      <c r="A168" s="499"/>
      <c r="B168" s="470" t="s">
        <v>1341</v>
      </c>
      <c r="C168" s="471"/>
      <c r="D168" s="472" t="str">
        <f>IF(LEFT(E166,3)="BAL",10,"")</f>
        <v/>
      </c>
      <c r="E168" s="469"/>
      <c r="F168" s="473" t="str">
        <f>IF(LEFT(G166,3)="BAL",15,"")</f>
        <v/>
      </c>
      <c r="G168" s="467"/>
      <c r="H168" s="474" t="str">
        <f>IF(LEFT(I166,3)="BAL",15,"")</f>
        <v/>
      </c>
      <c r="I168" s="469"/>
      <c r="J168" s="474" t="str">
        <f>IF(LEFT(K166,3)="BAL",20,"")</f>
        <v/>
      </c>
      <c r="K168" s="469"/>
      <c r="L168" s="474" t="str">
        <f>IF(LEFT(M166,3)="BAL",25,"")</f>
        <v/>
      </c>
      <c r="M168" s="458"/>
      <c r="N168" s="459"/>
      <c r="O168" s="425" t="str">
        <f t="shared" si="1"/>
        <v>Forests</v>
      </c>
      <c r="P168" s="425" t="str">
        <f t="shared" si="2"/>
        <v>Forests</v>
      </c>
      <c r="Q168" s="425" t="str">
        <f t="shared" si="3"/>
        <v>Forests</v>
      </c>
      <c r="R168" s="425" t="str">
        <f t="shared" si="4"/>
        <v>Forests</v>
      </c>
      <c r="S168" s="425" t="str">
        <f t="shared" si="5"/>
        <v>Forests</v>
      </c>
    </row>
    <row r="169" spans="1:28" s="461" customFormat="1" hidden="1" x14ac:dyDescent="0.25">
      <c r="A169" s="499"/>
      <c r="B169" s="470" t="s">
        <v>1342</v>
      </c>
      <c r="C169" s="471"/>
      <c r="D169" s="473" t="str">
        <f>IF(LEFT(E166,3)="BAL",10,"")</f>
        <v/>
      </c>
      <c r="E169" s="469"/>
      <c r="F169" s="473" t="str">
        <f>IF(LEFT(G166,3)="BAL",15,"")</f>
        <v/>
      </c>
      <c r="G169" s="467"/>
      <c r="H169" s="474" t="str">
        <f>IF(LEFT(I166,3)="BAL",15,"")</f>
        <v/>
      </c>
      <c r="I169" s="469"/>
      <c r="J169" s="474" t="str">
        <f>IF(LEFT(K166,3)="BAL",20,"")</f>
        <v/>
      </c>
      <c r="K169" s="469"/>
      <c r="L169" s="474" t="str">
        <f>IF(LEFT(M166,3)="BAL",25,"")</f>
        <v/>
      </c>
      <c r="M169" s="458"/>
      <c r="N169" s="459"/>
      <c r="O169" s="425" t="str">
        <f t="shared" si="1"/>
        <v>Forests</v>
      </c>
      <c r="P169" s="425" t="str">
        <f t="shared" si="2"/>
        <v>Forests</v>
      </c>
      <c r="Q169" s="425" t="str">
        <f t="shared" si="3"/>
        <v>Forests</v>
      </c>
      <c r="R169" s="425" t="str">
        <f t="shared" si="4"/>
        <v>Forests</v>
      </c>
      <c r="S169" s="425" t="str">
        <f t="shared" si="5"/>
        <v>Forests</v>
      </c>
    </row>
    <row r="170" spans="1:28" s="461" customFormat="1" hidden="1" x14ac:dyDescent="0.25">
      <c r="A170" s="499"/>
      <c r="B170" s="470" t="s">
        <v>1343</v>
      </c>
      <c r="C170" s="471"/>
      <c r="D170" s="473" t="str">
        <f>IF(LEFT(E166,3)="BAL",0,"")</f>
        <v/>
      </c>
      <c r="E170" s="469"/>
      <c r="F170" s="473" t="str">
        <f>IF(LEFT(G166,3)="BAL",0,"")</f>
        <v/>
      </c>
      <c r="G170" s="467"/>
      <c r="H170" s="474" t="str">
        <f>IF(LEFT(I166,3)="BAL",0,"")</f>
        <v/>
      </c>
      <c r="I170" s="469"/>
      <c r="J170" s="474" t="str">
        <f>IF(LEFT(K166,3)="BAL",0,"")</f>
        <v/>
      </c>
      <c r="K170" s="469"/>
      <c r="L170" s="474" t="str">
        <f>IF(LEFT(M166,3)="BAL",0,"")</f>
        <v/>
      </c>
      <c r="M170" s="458"/>
      <c r="N170" s="459"/>
      <c r="O170" s="425" t="str">
        <f t="shared" si="1"/>
        <v>Forests</v>
      </c>
      <c r="P170" s="425" t="str">
        <f t="shared" si="2"/>
        <v>Forests</v>
      </c>
      <c r="Q170" s="425" t="str">
        <f t="shared" si="3"/>
        <v>Forests</v>
      </c>
      <c r="R170" s="425" t="str">
        <f t="shared" si="4"/>
        <v>Forests</v>
      </c>
      <c r="S170" s="425" t="str">
        <f t="shared" si="5"/>
        <v>Forests</v>
      </c>
    </row>
    <row r="171" spans="1:28" ht="6" customHeight="1" x14ac:dyDescent="0.25">
      <c r="A171" s="427"/>
      <c r="B171" s="443"/>
      <c r="C171" s="443"/>
      <c r="D171" s="444"/>
      <c r="E171" s="445"/>
      <c r="F171" s="444"/>
      <c r="G171" s="446"/>
      <c r="H171" s="447"/>
      <c r="I171" s="445"/>
      <c r="J171" s="447"/>
      <c r="K171" s="445"/>
      <c r="L171" s="447"/>
      <c r="M171" s="442"/>
      <c r="N171" s="448"/>
      <c r="O171" s="425"/>
      <c r="P171" s="425"/>
      <c r="Q171" s="425"/>
      <c r="R171" s="425"/>
      <c r="S171" s="425"/>
      <c r="T171" s="390" t="s">
        <v>1344</v>
      </c>
    </row>
    <row r="172" spans="1:28" ht="18.75" x14ac:dyDescent="0.3">
      <c r="A172" s="427"/>
      <c r="B172" s="450" t="s">
        <v>1345</v>
      </c>
      <c r="C172" s="435"/>
      <c r="D172" s="452"/>
      <c r="E172" s="431" t="str">
        <f>IF(D172="&lt;7","BALFZ",IF(D172="7&lt;9","BAL40",IF(D172="9&lt;13","BAL29",IF(D172="13&lt;19","BAL19",IF(D172="19&lt;100","BAL12.5","")))))</f>
        <v/>
      </c>
      <c r="F172" s="452"/>
      <c r="G172" s="455" t="str">
        <f>IF(F172="&lt;7","BALFZ",IF(F172="7&lt;10","BAL40",IF(F172="10&lt;15","BAL29",IF(F172="15&lt;22","BAL19",IF(F172="22&lt;100","BAL12.5","")))))</f>
        <v/>
      </c>
      <c r="H172" s="456"/>
      <c r="I172" s="431" t="str">
        <f>IF(H172="&lt;8","BALFZ",IF(H172="8&lt;11","BAL40",IF(H172="11&lt;17","BAL29",IF(H172="17&lt;25","BAL19",IF(H172="25&lt;100","BAL12.5","")))))</f>
        <v/>
      </c>
      <c r="J172" s="456"/>
      <c r="K172" s="431" t="str">
        <f>IF(J172="&lt;9","BALFZ",IF(J172="9&lt;13","BAL40",IF(J172="13&lt;19","BAL29",IF(J172="19&lt;28","BAL19",IF(J172="28&lt;100","BAL12.5","")))))</f>
        <v/>
      </c>
      <c r="L172" s="456"/>
      <c r="M172" s="442" t="str">
        <f>IF(L172="&lt;10","BALFZ",IF(L172="10&lt;15","BAL40",IF(L172="15&lt;22","BAL29",IF(L172="22&lt;31","BAL19",IF(L172="31&lt;100","BAL12.5","")))))</f>
        <v/>
      </c>
      <c r="N172" s="433"/>
      <c r="O172" s="425" t="str">
        <f>IF(D172=0,"","Shrubland")</f>
        <v/>
      </c>
      <c r="P172" s="425" t="str">
        <f>IF(F172=0,"","Shrubland")</f>
        <v/>
      </c>
      <c r="Q172" s="425" t="str">
        <f>IF(H172=0,"","Shrubland")</f>
        <v/>
      </c>
      <c r="R172" s="425" t="str">
        <f>IF(J172=0,"","Shrubland")</f>
        <v/>
      </c>
      <c r="S172" s="425" t="str">
        <f>IF(L172=0,"","Shrubland")</f>
        <v/>
      </c>
      <c r="T172" s="390" t="s">
        <v>1346</v>
      </c>
      <c r="X172" s="533"/>
      <c r="Y172" s="533"/>
      <c r="Z172" s="533"/>
      <c r="AA172" s="533"/>
      <c r="AB172" s="533"/>
    </row>
    <row r="173" spans="1:28" s="461" customFormat="1" ht="18.75" hidden="1" x14ac:dyDescent="0.3">
      <c r="A173" s="499"/>
      <c r="B173" s="463" t="s">
        <v>1331</v>
      </c>
      <c r="C173" s="464"/>
      <c r="D173" s="465" t="str">
        <f>E172</f>
        <v/>
      </c>
      <c r="E173" s="469"/>
      <c r="F173" s="465" t="str">
        <f>G172</f>
        <v/>
      </c>
      <c r="G173" s="467"/>
      <c r="H173" s="468" t="str">
        <f>I172</f>
        <v/>
      </c>
      <c r="I173" s="469"/>
      <c r="J173" s="468" t="str">
        <f>K172</f>
        <v/>
      </c>
      <c r="K173" s="469"/>
      <c r="L173" s="468" t="str">
        <f>M172</f>
        <v/>
      </c>
      <c r="M173" s="458"/>
      <c r="N173" s="459"/>
      <c r="O173" s="425" t="str">
        <f t="shared" si="1"/>
        <v>Forests</v>
      </c>
      <c r="P173" s="425" t="str">
        <f t="shared" si="2"/>
        <v>Forests</v>
      </c>
      <c r="Q173" s="425" t="str">
        <f t="shared" si="3"/>
        <v>Forests</v>
      </c>
      <c r="R173" s="425" t="str">
        <f t="shared" si="4"/>
        <v>Forests</v>
      </c>
      <c r="S173" s="425" t="str">
        <f t="shared" si="5"/>
        <v>Forests</v>
      </c>
    </row>
    <row r="174" spans="1:28" s="461" customFormat="1" hidden="1" x14ac:dyDescent="0.25">
      <c r="A174" s="499"/>
      <c r="B174" s="470" t="s">
        <v>1347</v>
      </c>
      <c r="C174" s="471"/>
      <c r="D174" s="473" t="str">
        <f>IF(LEFT(E172,3)="BAL",10,"")</f>
        <v/>
      </c>
      <c r="E174" s="469"/>
      <c r="F174" s="473" t="str">
        <f>IF(LEFT(G172,3)="BAL",10,"")</f>
        <v/>
      </c>
      <c r="G174" s="467"/>
      <c r="H174" s="474" t="str">
        <f>IF(LEFT(I172,3)="BAL",10,"")</f>
        <v/>
      </c>
      <c r="I174" s="469"/>
      <c r="J174" s="474" t="str">
        <f>IF(LEFT(K172,3)="BAL",10,"")</f>
        <v/>
      </c>
      <c r="K174" s="469"/>
      <c r="L174" s="474" t="str">
        <f>IF(LEFT(M172,3)="BAL",15,"")</f>
        <v/>
      </c>
      <c r="M174" s="458"/>
      <c r="N174" s="459"/>
      <c r="O174" s="425" t="str">
        <f t="shared" si="1"/>
        <v>Forests</v>
      </c>
      <c r="P174" s="425" t="str">
        <f t="shared" si="2"/>
        <v>Forests</v>
      </c>
      <c r="Q174" s="425" t="str">
        <f t="shared" si="3"/>
        <v>Forests</v>
      </c>
      <c r="R174" s="425" t="str">
        <f t="shared" si="4"/>
        <v>Forests</v>
      </c>
      <c r="S174" s="425" t="str">
        <f t="shared" si="5"/>
        <v>Forests</v>
      </c>
    </row>
    <row r="175" spans="1:28" s="461" customFormat="1" hidden="1" x14ac:dyDescent="0.25">
      <c r="A175" s="499"/>
      <c r="B175" s="470" t="s">
        <v>1342</v>
      </c>
      <c r="C175" s="471"/>
      <c r="D175" s="473" t="str">
        <f>IF(LEFT(E172,3)="BAL",10,"")</f>
        <v/>
      </c>
      <c r="E175" s="469"/>
      <c r="F175" s="473" t="str">
        <f>IF(LEFT(G172,3)="BAL",10,"")</f>
        <v/>
      </c>
      <c r="G175" s="467"/>
      <c r="H175" s="474" t="str">
        <f>IF(LEFT(I172,3)="BAL",10,"")</f>
        <v/>
      </c>
      <c r="I175" s="469"/>
      <c r="J175" s="474" t="str">
        <f>IF(LEFT(K172,3)="BAL",10,"")</f>
        <v/>
      </c>
      <c r="K175" s="469"/>
      <c r="L175" s="474" t="str">
        <f>IF(LEFT(M172,3)="BAL",15,"")</f>
        <v/>
      </c>
      <c r="M175" s="458"/>
      <c r="N175" s="459"/>
      <c r="O175" s="425" t="str">
        <f t="shared" si="1"/>
        <v>Forests</v>
      </c>
      <c r="P175" s="425" t="str">
        <f t="shared" si="2"/>
        <v>Forests</v>
      </c>
      <c r="Q175" s="425" t="str">
        <f t="shared" si="3"/>
        <v>Forests</v>
      </c>
      <c r="R175" s="425" t="str">
        <f t="shared" si="4"/>
        <v>Forests</v>
      </c>
      <c r="S175" s="425" t="str">
        <f t="shared" si="5"/>
        <v>Forests</v>
      </c>
    </row>
    <row r="176" spans="1:28" s="461" customFormat="1" hidden="1" x14ac:dyDescent="0.25">
      <c r="A176" s="499"/>
      <c r="B176" s="470" t="s">
        <v>1343</v>
      </c>
      <c r="C176" s="471"/>
      <c r="D176" s="473" t="str">
        <f>IF(LEFT(E172,3)="BAL",0,"")</f>
        <v/>
      </c>
      <c r="E176" s="469"/>
      <c r="F176" s="473" t="str">
        <f>IF(LEFT(G172,3)="BAL",0,"")</f>
        <v/>
      </c>
      <c r="G176" s="467"/>
      <c r="H176" s="474" t="str">
        <f>IF(LEFT(I172,3)="BAL",0,"")</f>
        <v/>
      </c>
      <c r="I176" s="469"/>
      <c r="J176" s="474" t="str">
        <f>IF(LEFT(K172,3)="BAL",0,"")</f>
        <v/>
      </c>
      <c r="K176" s="469"/>
      <c r="L176" s="474" t="str">
        <f>IF(LEFT(M172,3)="BAL",0,"")</f>
        <v/>
      </c>
      <c r="M176" s="458"/>
      <c r="N176" s="459"/>
      <c r="O176" s="425" t="str">
        <f t="shared" si="1"/>
        <v>Forests</v>
      </c>
      <c r="P176" s="425" t="str">
        <f t="shared" si="2"/>
        <v>Forests</v>
      </c>
      <c r="Q176" s="425" t="str">
        <f t="shared" si="3"/>
        <v>Forests</v>
      </c>
      <c r="R176" s="425" t="str">
        <f t="shared" si="4"/>
        <v>Forests</v>
      </c>
      <c r="S176" s="425" t="str">
        <f t="shared" si="5"/>
        <v>Forests</v>
      </c>
    </row>
    <row r="177" spans="1:28" ht="6" customHeight="1" x14ac:dyDescent="0.25">
      <c r="A177" s="427"/>
      <c r="B177" s="443"/>
      <c r="C177" s="443"/>
      <c r="D177" s="444"/>
      <c r="E177" s="445"/>
      <c r="F177" s="444"/>
      <c r="G177" s="446"/>
      <c r="H177" s="447"/>
      <c r="I177" s="445"/>
      <c r="J177" s="447"/>
      <c r="K177" s="445"/>
      <c r="L177" s="447"/>
      <c r="M177" s="530"/>
      <c r="N177" s="448"/>
      <c r="O177" s="425"/>
      <c r="P177" s="425"/>
      <c r="Q177" s="425"/>
      <c r="R177" s="425"/>
      <c r="S177" s="425"/>
    </row>
    <row r="178" spans="1:28" ht="18.75" x14ac:dyDescent="0.3">
      <c r="A178" s="427"/>
      <c r="B178" s="450" t="s">
        <v>1348</v>
      </c>
      <c r="C178" s="435"/>
      <c r="D178" s="452"/>
      <c r="E178" s="431" t="str">
        <f>IF(D178="&lt;10","BALFZ",IF(D178="10&lt;13","BAL40",IF(D178="13&lt;19","BAL29",IF(D178="19&lt;27","BAL19",IF(D178="27&lt;100","BAL12.5","")))))</f>
        <v/>
      </c>
      <c r="F178" s="452"/>
      <c r="G178" s="455" t="str">
        <f>IF(F178="&lt;11","BALFZ",IF(F178="11&lt;15","BAL40",IF(F178="15&lt;22","BAL29",IF(F178="22&lt;31","BAL19",IF(F178="31&lt;100","BAL12.5","")))))</f>
        <v/>
      </c>
      <c r="H178" s="456"/>
      <c r="I178" s="431" t="str">
        <f>IF(H178="&lt;12","BALFZ",IF(H178="12&lt;17","BAL40",IF(H178="17&lt;24","BAL29",IF(H178="24&lt;35","BAL19",IF(H178="35&lt;100","BAL12.5","")))))</f>
        <v/>
      </c>
      <c r="J178" s="456"/>
      <c r="K178" s="431" t="str">
        <f>IF(J178="&lt;14","BALFZ",IF(J178="14&lt;19","BAL40",IF(J178="19&lt;28","BAL29",IF(J178="28&lt;39","BAL19",IF(J178="39&lt;100","BAL12.5","")))))</f>
        <v/>
      </c>
      <c r="L178" s="456"/>
      <c r="M178" s="442" t="str">
        <f>IF(L178="&lt;15","BALFZ",IF(L178="15&lt;21","BAL40",IF(L178="21&lt;31","BAL29",IF(L178="31&lt;43","BAL19",IF(L178="43&lt;100","BAL12.5","")))))</f>
        <v/>
      </c>
      <c r="N178" s="433"/>
      <c r="O178" s="425" t="str">
        <f>IF(D178=0,"","Scrub")</f>
        <v/>
      </c>
      <c r="P178" s="425" t="str">
        <f>IF(F178=0,"","Scrub")</f>
        <v/>
      </c>
      <c r="Q178" s="425" t="str">
        <f>IF(H178=0,"","Scrub")</f>
        <v/>
      </c>
      <c r="R178" s="425" t="str">
        <f>IF(J178=0,"","Scrub")</f>
        <v/>
      </c>
      <c r="S178" s="425" t="str">
        <f>IF(L178=0,"","Scrub")</f>
        <v/>
      </c>
      <c r="X178" s="533"/>
      <c r="Y178" s="533"/>
      <c r="Z178" s="533"/>
      <c r="AA178" s="533"/>
      <c r="AB178" s="533"/>
    </row>
    <row r="179" spans="1:28" s="461" customFormat="1" ht="18.75" hidden="1" x14ac:dyDescent="0.3">
      <c r="A179" s="499"/>
      <c r="B179" s="463" t="s">
        <v>1331</v>
      </c>
      <c r="C179" s="464"/>
      <c r="D179" s="465" t="str">
        <f>E178</f>
        <v/>
      </c>
      <c r="E179" s="469"/>
      <c r="F179" s="465" t="str">
        <f>G178</f>
        <v/>
      </c>
      <c r="G179" s="467"/>
      <c r="H179" s="468" t="str">
        <f>I178</f>
        <v/>
      </c>
      <c r="I179" s="469"/>
      <c r="J179" s="468" t="str">
        <f>K178</f>
        <v/>
      </c>
      <c r="K179" s="469"/>
      <c r="L179" s="468" t="str">
        <f>M178</f>
        <v/>
      </c>
      <c r="M179" s="458"/>
      <c r="N179" s="459"/>
      <c r="O179" s="425" t="str">
        <f t="shared" si="1"/>
        <v>Forests</v>
      </c>
      <c r="P179" s="425" t="str">
        <f t="shared" si="2"/>
        <v>Forests</v>
      </c>
      <c r="Q179" s="425" t="str">
        <f t="shared" si="3"/>
        <v>Forests</v>
      </c>
      <c r="R179" s="425" t="str">
        <f t="shared" si="4"/>
        <v>Forests</v>
      </c>
      <c r="S179" s="425" t="str">
        <f t="shared" si="5"/>
        <v>Forests</v>
      </c>
    </row>
    <row r="180" spans="1:28" s="461" customFormat="1" hidden="1" x14ac:dyDescent="0.25">
      <c r="A180" s="499"/>
      <c r="B180" s="470" t="s">
        <v>1349</v>
      </c>
      <c r="C180" s="471"/>
      <c r="D180" s="472" t="str">
        <f>IF(LEFT(E178,3)="BAL",15,"")</f>
        <v/>
      </c>
      <c r="E180" s="469"/>
      <c r="F180" s="473" t="str">
        <f>IF(LEFT(G178,3)="BAL",15,"")</f>
        <v/>
      </c>
      <c r="G180" s="467"/>
      <c r="H180" s="474" t="str">
        <f>IF(LEFT(I178,3)="BAL",20,"")</f>
        <v/>
      </c>
      <c r="I180" s="469"/>
      <c r="J180" s="474" t="str">
        <f>IF(LEFT(K178,3)="BAL",20,"")</f>
        <v/>
      </c>
      <c r="K180" s="469"/>
      <c r="L180" s="474" t="str">
        <f>IF(LEFT(M178,3)="BAL",20,"")</f>
        <v/>
      </c>
      <c r="M180" s="458"/>
      <c r="N180" s="459"/>
      <c r="O180" s="425" t="str">
        <f t="shared" si="1"/>
        <v>Forests</v>
      </c>
      <c r="P180" s="425" t="str">
        <f t="shared" si="2"/>
        <v>Forests</v>
      </c>
      <c r="Q180" s="425" t="str">
        <f t="shared" si="3"/>
        <v>Forests</v>
      </c>
      <c r="R180" s="425" t="str">
        <f t="shared" si="4"/>
        <v>Forests</v>
      </c>
      <c r="S180" s="425" t="str">
        <f t="shared" si="5"/>
        <v>Forests</v>
      </c>
    </row>
    <row r="181" spans="1:28" s="461" customFormat="1" hidden="1" x14ac:dyDescent="0.25">
      <c r="A181" s="499"/>
      <c r="B181" s="470" t="s">
        <v>1350</v>
      </c>
      <c r="C181" s="471"/>
      <c r="D181" s="473" t="str">
        <f>IF(LEFT(E178,3)="BAL",15,"")</f>
        <v/>
      </c>
      <c r="E181" s="469"/>
      <c r="F181" s="473" t="str">
        <f>IF(LEFT(G178,3)="BAL",15,"")</f>
        <v/>
      </c>
      <c r="G181" s="467"/>
      <c r="H181" s="474" t="str">
        <f>IF(LEFT(I178,3)="BAL",20,"")</f>
        <v/>
      </c>
      <c r="I181" s="469"/>
      <c r="J181" s="474" t="str">
        <f>IF(LEFT(K178,3)="BAL",20,"")</f>
        <v/>
      </c>
      <c r="K181" s="469"/>
      <c r="L181" s="474" t="str">
        <f>IF(LEFT(M178,3)="BAL",20,"")</f>
        <v/>
      </c>
      <c r="M181" s="458"/>
      <c r="N181" s="459"/>
      <c r="O181" s="425" t="str">
        <f t="shared" si="1"/>
        <v>Forests</v>
      </c>
      <c r="P181" s="425" t="str">
        <f t="shared" si="2"/>
        <v>Forests</v>
      </c>
      <c r="Q181" s="425" t="str">
        <f t="shared" si="3"/>
        <v>Forests</v>
      </c>
      <c r="R181" s="425" t="str">
        <f t="shared" si="4"/>
        <v>Forests</v>
      </c>
      <c r="S181" s="425" t="str">
        <f t="shared" si="5"/>
        <v>Forests</v>
      </c>
    </row>
    <row r="182" spans="1:28" s="461" customFormat="1" hidden="1" x14ac:dyDescent="0.25">
      <c r="A182" s="499"/>
      <c r="B182" s="470" t="s">
        <v>1351</v>
      </c>
      <c r="C182" s="471"/>
      <c r="D182" s="473" t="str">
        <f>IF(LEFT(E178,3)="BAL",0,"")</f>
        <v/>
      </c>
      <c r="E182" s="469"/>
      <c r="F182" s="473" t="str">
        <f>IF(LEFT(G178,3)="BAL",0,"")</f>
        <v/>
      </c>
      <c r="G182" s="467"/>
      <c r="H182" s="474" t="str">
        <f>IF(LEFT(I178,3)="BAL",0,"")</f>
        <v/>
      </c>
      <c r="I182" s="469"/>
      <c r="J182" s="474" t="str">
        <f>IF(LEFT(K178,3)="BAL",0,"")</f>
        <v/>
      </c>
      <c r="K182" s="469"/>
      <c r="L182" s="474" t="str">
        <f>IF(LEFT(M178,3)="BAL",0,"")</f>
        <v/>
      </c>
      <c r="M182" s="458"/>
      <c r="N182" s="459"/>
      <c r="O182" s="425" t="str">
        <f t="shared" si="1"/>
        <v>Forests</v>
      </c>
      <c r="P182" s="425" t="str">
        <f t="shared" si="2"/>
        <v>Forests</v>
      </c>
      <c r="Q182" s="425" t="str">
        <f t="shared" si="3"/>
        <v>Forests</v>
      </c>
      <c r="R182" s="425" t="str">
        <f t="shared" si="4"/>
        <v>Forests</v>
      </c>
      <c r="S182" s="425" t="str">
        <f t="shared" si="5"/>
        <v>Forests</v>
      </c>
    </row>
    <row r="183" spans="1:28" ht="6" customHeight="1" x14ac:dyDescent="0.3">
      <c r="A183" s="427"/>
      <c r="B183" s="504"/>
      <c r="C183" s="504"/>
      <c r="D183" s="505"/>
      <c r="E183" s="506"/>
      <c r="F183" s="505"/>
      <c r="G183" s="507"/>
      <c r="H183" s="508"/>
      <c r="I183" s="506"/>
      <c r="J183" s="508"/>
      <c r="K183" s="506"/>
      <c r="L183" s="508"/>
      <c r="M183" s="442"/>
      <c r="N183" s="448"/>
      <c r="O183" s="425"/>
      <c r="P183" s="425"/>
      <c r="Q183" s="425"/>
      <c r="R183" s="425"/>
      <c r="S183" s="425"/>
    </row>
    <row r="184" spans="1:28" s="390" customFormat="1" hidden="1" x14ac:dyDescent="0.25">
      <c r="A184" s="501"/>
      <c r="B184" s="470" t="s">
        <v>1352</v>
      </c>
      <c r="C184" s="475"/>
      <c r="D184" s="473" t="str">
        <f>IF(LEFT(E178,3)="BAL",10,"")</f>
        <v/>
      </c>
      <c r="E184" s="469"/>
      <c r="F184" s="473" t="str">
        <f>IF(LEFT(G178,3)="BAL",10,"")</f>
        <v/>
      </c>
      <c r="G184" s="467"/>
      <c r="H184" s="474" t="str">
        <f>IF(LEFT(I178,3)="BAL",10,"")</f>
        <v/>
      </c>
      <c r="I184" s="469"/>
      <c r="J184" s="474" t="str">
        <f>IF(LEFT(K178,3)="BAL",15,"")</f>
        <v/>
      </c>
      <c r="K184" s="469"/>
      <c r="L184" s="474" t="str">
        <f>IF(LEFT(M178,3)="BAL",15,"")</f>
        <v/>
      </c>
      <c r="M184" s="442"/>
      <c r="N184" s="433"/>
      <c r="O184" s="425" t="str">
        <f t="shared" si="1"/>
        <v>Forests</v>
      </c>
      <c r="P184" s="425" t="str">
        <f t="shared" si="2"/>
        <v>Forests</v>
      </c>
      <c r="Q184" s="425" t="str">
        <f t="shared" si="3"/>
        <v>Forests</v>
      </c>
      <c r="R184" s="425" t="str">
        <f t="shared" si="4"/>
        <v>Forests</v>
      </c>
      <c r="S184" s="425" t="str">
        <f t="shared" si="5"/>
        <v>Forests</v>
      </c>
    </row>
    <row r="185" spans="1:28" s="390" customFormat="1" hidden="1" x14ac:dyDescent="0.25">
      <c r="A185" s="501"/>
      <c r="B185" s="470" t="s">
        <v>1353</v>
      </c>
      <c r="C185" s="475"/>
      <c r="D185" s="473" t="str">
        <f>IF(LEFT(E178,3)="BAL",10,"")</f>
        <v/>
      </c>
      <c r="E185" s="469"/>
      <c r="F185" s="473" t="str">
        <f>IF(LEFT(G178,3)="BAL",10,"")</f>
        <v/>
      </c>
      <c r="G185" s="467"/>
      <c r="H185" s="474" t="str">
        <f>IF(LEFT(I178,3)="BAL",10,"")</f>
        <v/>
      </c>
      <c r="I185" s="469"/>
      <c r="J185" s="474" t="str">
        <f>IF(LEFT(K178,3)="BAL",15,"")</f>
        <v/>
      </c>
      <c r="K185" s="469"/>
      <c r="L185" s="474" t="str">
        <f>IF(LEFT(M178,3)="BAL",15,"")</f>
        <v/>
      </c>
      <c r="M185" s="442"/>
      <c r="N185" s="433"/>
      <c r="O185" s="425" t="str">
        <f t="shared" si="1"/>
        <v>Forests</v>
      </c>
      <c r="P185" s="425" t="str">
        <f t="shared" si="2"/>
        <v>Forests</v>
      </c>
      <c r="Q185" s="425" t="str">
        <f t="shared" si="3"/>
        <v>Forests</v>
      </c>
      <c r="R185" s="425" t="str">
        <f t="shared" si="4"/>
        <v>Forests</v>
      </c>
      <c r="S185" s="425" t="str">
        <f t="shared" si="5"/>
        <v>Forests</v>
      </c>
    </row>
    <row r="186" spans="1:28" s="390" customFormat="1" hidden="1" x14ac:dyDescent="0.25">
      <c r="A186" s="501"/>
      <c r="B186" s="470" t="s">
        <v>1354</v>
      </c>
      <c r="C186" s="475"/>
      <c r="D186" s="473" t="str">
        <f>IF(LEFT(E178,3)="BAL",0,"")</f>
        <v/>
      </c>
      <c r="E186" s="469"/>
      <c r="F186" s="473" t="str">
        <f>IF(LEFT(G178,3)="BAL",0,"")</f>
        <v/>
      </c>
      <c r="G186" s="467"/>
      <c r="H186" s="474" t="str">
        <f>IF(LEFT(I178,3)="BAL",0,"")</f>
        <v/>
      </c>
      <c r="I186" s="469"/>
      <c r="J186" s="474" t="str">
        <f>IF(LEFT(K178,3)="BAL",0,"")</f>
        <v/>
      </c>
      <c r="K186" s="469"/>
      <c r="L186" s="474" t="str">
        <f>IF(LEFT(M178,3)="BAL",0,"")</f>
        <v/>
      </c>
      <c r="M186" s="442"/>
      <c r="N186" s="433"/>
      <c r="O186" s="425" t="str">
        <f t="shared" si="1"/>
        <v>Forests</v>
      </c>
      <c r="P186" s="425" t="str">
        <f t="shared" si="2"/>
        <v>Forests</v>
      </c>
      <c r="Q186" s="425" t="str">
        <f t="shared" si="3"/>
        <v>Forests</v>
      </c>
      <c r="R186" s="425" t="str">
        <f t="shared" si="4"/>
        <v>Forests</v>
      </c>
      <c r="S186" s="425" t="str">
        <f t="shared" si="5"/>
        <v>Forests</v>
      </c>
    </row>
    <row r="187" spans="1:28" hidden="1" x14ac:dyDescent="0.25">
      <c r="A187" s="427"/>
      <c r="B187" s="443"/>
      <c r="C187" s="443"/>
      <c r="D187" s="444"/>
      <c r="E187" s="445"/>
      <c r="F187" s="444"/>
      <c r="G187" s="446"/>
      <c r="H187" s="447"/>
      <c r="I187" s="445"/>
      <c r="J187" s="447"/>
      <c r="K187" s="445"/>
      <c r="L187" s="447"/>
      <c r="M187" s="442"/>
      <c r="N187" s="433"/>
      <c r="O187" s="425" t="str">
        <f t="shared" si="1"/>
        <v/>
      </c>
      <c r="P187" s="425" t="str">
        <f t="shared" si="2"/>
        <v/>
      </c>
      <c r="Q187" s="425" t="str">
        <f t="shared" si="3"/>
        <v/>
      </c>
      <c r="R187" s="425" t="str">
        <f t="shared" si="4"/>
        <v/>
      </c>
      <c r="S187" s="425" t="str">
        <f t="shared" si="5"/>
        <v/>
      </c>
    </row>
    <row r="188" spans="1:28" s="390" customFormat="1" ht="18.75" x14ac:dyDescent="0.3">
      <c r="A188" s="427"/>
      <c r="B188" s="450" t="s">
        <v>1355</v>
      </c>
      <c r="C188" s="431"/>
      <c r="D188" s="452"/>
      <c r="E188" s="431" t="str">
        <f>IF(D188="&lt;6","BALFZ",IF(D188="6&lt;8","BAL40",IF(D188="8&lt;12","BAL29",IF(D188="13&lt;17","BAL19",IF(D188="17&lt;50","BAL12.5","")))))</f>
        <v/>
      </c>
      <c r="F188" s="452"/>
      <c r="G188" s="455" t="str">
        <f>IF(F188="&lt;7","BALFZ",IF(F188="7&lt;9","BAL40",IF(F188="9&lt;14","BAL29",IF(F188="14&lt;20","BAL19",IF(F188="20&lt;50","BAL12.5","")))))</f>
        <v/>
      </c>
      <c r="H188" s="456"/>
      <c r="I188" s="431" t="str">
        <f>IF(H188="&lt;8","BALFZ",IF(H188="8&lt;10","BAL40",IF(H188="10&lt;16","BAL29",IF(H188="16&lt;23","BAL19",IF(H188="23&lt;50","BAL12.5","")))))</f>
        <v/>
      </c>
      <c r="J188" s="456"/>
      <c r="K188" s="431" t="str">
        <f>IF(J188="&lt;9","BALFZ",IF(J188="9&lt;12","BAL40",IF(J188="12&lt;18","BAL29",IF(J188="18&lt;26","BAL19",IF(J188="26&lt;50","BAL12.5","")))))</f>
        <v/>
      </c>
      <c r="L188" s="456"/>
      <c r="M188" s="442" t="str">
        <f>IF(L188="&lt;10","BALFZ",IF(L188="10&lt;14","BAL40",IF(L188="14&lt;21","BAL29",IF(L188="21&lt;30","BAL19",IF(L188="30&lt;50","BAL12.5","")))))</f>
        <v/>
      </c>
      <c r="N188" s="433"/>
      <c r="O188" s="425" t="str">
        <f>IF(D188=0,"","Grassland")</f>
        <v/>
      </c>
      <c r="P188" s="425" t="str">
        <f>IF(F188=0,"","Grassland")</f>
        <v/>
      </c>
      <c r="Q188" s="425" t="str">
        <f>IF(H188=0,"","Grassland")</f>
        <v/>
      </c>
      <c r="R188" s="425" t="str">
        <f>IF(J188=0,"","Grassland")</f>
        <v/>
      </c>
      <c r="S188" s="425" t="str">
        <f>IF(L188=0,"","Grassland")</f>
        <v/>
      </c>
      <c r="X188" s="533"/>
      <c r="Y188" s="533"/>
      <c r="Z188" s="533"/>
      <c r="AA188" s="533"/>
      <c r="AB188" s="533"/>
    </row>
    <row r="189" spans="1:28" s="461" customFormat="1" ht="18.75" hidden="1" x14ac:dyDescent="0.3">
      <c r="A189" s="499"/>
      <c r="B189" s="463" t="s">
        <v>1331</v>
      </c>
      <c r="C189" s="464"/>
      <c r="D189" s="465" t="str">
        <f>E188</f>
        <v/>
      </c>
      <c r="E189" s="469"/>
      <c r="F189" s="465" t="str">
        <f>G188</f>
        <v/>
      </c>
      <c r="G189" s="467"/>
      <c r="H189" s="468" t="str">
        <f>I188</f>
        <v/>
      </c>
      <c r="I189" s="469"/>
      <c r="J189" s="468" t="str">
        <f>K188</f>
        <v/>
      </c>
      <c r="K189" s="469"/>
      <c r="L189" s="468" t="str">
        <f>M188</f>
        <v/>
      </c>
      <c r="M189" s="458"/>
      <c r="N189" s="459"/>
      <c r="O189" s="474" t="str">
        <f>IF(LEFT(D189,3)="BAL","Grassland","")</f>
        <v/>
      </c>
      <c r="P189" s="474" t="str">
        <f>IF(LEFT(F189,3)="BAL","Grassland","")</f>
        <v/>
      </c>
      <c r="Q189" s="474" t="str">
        <f>IF(LEFT(H189,3)="BAL","Grassland","")</f>
        <v/>
      </c>
      <c r="R189" s="474" t="str">
        <f>IF(LEFT(J189,3)="BAL","Grassland","")</f>
        <v/>
      </c>
      <c r="S189" s="474" t="str">
        <f>IF(LEFT(L189,3)="BAL","Grassland","")</f>
        <v/>
      </c>
    </row>
    <row r="190" spans="1:28" s="461" customFormat="1" hidden="1" x14ac:dyDescent="0.25">
      <c r="A190" s="499"/>
      <c r="B190" s="470" t="s">
        <v>1341</v>
      </c>
      <c r="C190" s="471"/>
      <c r="D190" s="473" t="str">
        <f>IF(LEFT(E188,3)="BAL",10,"")</f>
        <v/>
      </c>
      <c r="E190" s="469"/>
      <c r="F190" s="473" t="str">
        <f>IF(LEFT(G188,3)="BAL",10,"")</f>
        <v/>
      </c>
      <c r="G190" s="467"/>
      <c r="H190" s="474" t="str">
        <f>IF(LEFT(I188,3)="BAL",10,"")</f>
        <v/>
      </c>
      <c r="I190" s="469"/>
      <c r="J190" s="474" t="str">
        <f>IF(LEFT(K188,3)="BAL",10,"")</f>
        <v/>
      </c>
      <c r="K190" s="469"/>
      <c r="L190" s="474" t="str">
        <f>IF(LEFT(M188,3)="BAL",10,"")</f>
        <v/>
      </c>
      <c r="M190" s="458"/>
      <c r="N190" s="459"/>
      <c r="O190" s="483" t="str">
        <f>IF(O189="Grassland","Grassland",IF(P189="Grassland","Grassland",IF(Q189="Grassland","Grassland",IF(R189="Grassland","Grassland",IF(S189="Grassland","Grassland","")))))</f>
        <v/>
      </c>
      <c r="P190" s="471"/>
      <c r="Q190" s="471"/>
      <c r="R190" s="471"/>
      <c r="S190" s="471"/>
    </row>
    <row r="191" spans="1:28" s="461" customFormat="1" hidden="1" x14ac:dyDescent="0.25">
      <c r="A191" s="499"/>
      <c r="B191" s="470" t="s">
        <v>1342</v>
      </c>
      <c r="C191" s="471"/>
      <c r="D191" s="473" t="str">
        <f>IF(LEFT(E188,3)="BAL",10,"")</f>
        <v/>
      </c>
      <c r="E191" s="469"/>
      <c r="F191" s="473" t="str">
        <f>IF(LEFT(G188,3)="BAL",10,"")</f>
        <v/>
      </c>
      <c r="G191" s="467"/>
      <c r="H191" s="474" t="str">
        <f>IF(LEFT(I188,3)="BAL",10,"")</f>
        <v/>
      </c>
      <c r="I191" s="469"/>
      <c r="J191" s="474" t="str">
        <f>IF(LEFT(K188,3)="BAL",10,"")</f>
        <v/>
      </c>
      <c r="K191" s="469"/>
      <c r="L191" s="474" t="str">
        <f>IF(LEFT(M188,3)="BAL",10,"")</f>
        <v/>
      </c>
      <c r="M191" s="458"/>
      <c r="N191" s="459"/>
      <c r="O191" s="471"/>
      <c r="P191" s="471"/>
      <c r="Q191" s="471"/>
      <c r="R191" s="471"/>
      <c r="S191" s="471"/>
    </row>
    <row r="192" spans="1:28" s="461" customFormat="1" hidden="1" x14ac:dyDescent="0.25">
      <c r="A192" s="499"/>
      <c r="B192" s="470" t="s">
        <v>1343</v>
      </c>
      <c r="C192" s="471"/>
      <c r="D192" s="473" t="str">
        <f>IF(LEFT(E188,3)="BAL",0,"")</f>
        <v/>
      </c>
      <c r="E192" s="469"/>
      <c r="F192" s="473" t="str">
        <f>IF(LEFT(G188,3)="BAL",0,"")</f>
        <v/>
      </c>
      <c r="G192" s="467"/>
      <c r="H192" s="474" t="str">
        <f>IF(LEFT(I188,3)="BAL",0,"")</f>
        <v/>
      </c>
      <c r="I192" s="469"/>
      <c r="J192" s="474" t="str">
        <f>IF(LEFT(K188,3)="BAL",0,"")</f>
        <v/>
      </c>
      <c r="K192" s="469"/>
      <c r="L192" s="474" t="str">
        <f>IF(LEFT(M188,3)="BAL",0,"")</f>
        <v/>
      </c>
      <c r="M192" s="458"/>
      <c r="N192" s="459"/>
      <c r="O192" s="471"/>
      <c r="P192" s="471"/>
      <c r="Q192" s="471"/>
      <c r="R192" s="471"/>
      <c r="S192" s="471"/>
    </row>
    <row r="193" spans="1:22" ht="6" customHeight="1" x14ac:dyDescent="0.25">
      <c r="A193" s="427"/>
      <c r="B193" s="443"/>
      <c r="C193" s="443"/>
      <c r="D193" s="444"/>
      <c r="E193" s="445"/>
      <c r="F193" s="444"/>
      <c r="G193" s="446"/>
      <c r="H193" s="447"/>
      <c r="I193" s="445"/>
      <c r="J193" s="447"/>
      <c r="K193" s="445"/>
      <c r="L193" s="447"/>
      <c r="M193" s="442"/>
      <c r="N193" s="448"/>
      <c r="O193" s="425"/>
      <c r="P193" s="425"/>
      <c r="Q193" s="425"/>
      <c r="R193" s="425"/>
      <c r="S193" s="425"/>
    </row>
    <row r="194" spans="1:22" ht="17.25" x14ac:dyDescent="0.3">
      <c r="A194" s="427"/>
      <c r="B194" s="515" t="s">
        <v>1356</v>
      </c>
      <c r="C194" s="435"/>
      <c r="D194" s="452"/>
      <c r="E194" s="431"/>
      <c r="F194" s="452"/>
      <c r="G194" s="455"/>
      <c r="H194" s="452"/>
      <c r="I194" s="431"/>
      <c r="J194" s="452"/>
      <c r="K194" s="485"/>
      <c r="L194" s="452"/>
      <c r="M194" s="442"/>
      <c r="N194" s="433"/>
      <c r="O194" s="425" t="str">
        <f>IF(D194="Yes","Yes","")</f>
        <v/>
      </c>
      <c r="P194" s="425"/>
      <c r="Q194" s="425"/>
      <c r="R194" s="425"/>
      <c r="S194" s="425"/>
    </row>
    <row r="195" spans="1:22" ht="6" customHeight="1" thickBot="1" x14ac:dyDescent="0.3">
      <c r="A195" s="427"/>
      <c r="B195" s="532"/>
      <c r="C195" s="532"/>
      <c r="D195" s="536"/>
      <c r="E195" s="537"/>
      <c r="F195" s="536"/>
      <c r="G195" s="538"/>
      <c r="H195" s="539"/>
      <c r="I195" s="540"/>
      <c r="J195" s="539"/>
      <c r="K195" s="541"/>
      <c r="L195" s="539"/>
      <c r="M195" s="494"/>
      <c r="N195" s="448"/>
      <c r="O195" s="425"/>
      <c r="P195" s="425"/>
      <c r="Q195" s="425"/>
      <c r="R195" s="425"/>
      <c r="S195" s="425"/>
    </row>
    <row r="196" spans="1:22" ht="30" customHeight="1" thickBot="1" x14ac:dyDescent="0.3">
      <c r="A196" s="542"/>
      <c r="B196" s="1087" t="s">
        <v>1361</v>
      </c>
      <c r="C196" s="1087"/>
      <c r="D196" s="1087"/>
      <c r="E196" s="1087"/>
      <c r="F196" s="1087"/>
      <c r="G196" s="1087"/>
      <c r="H196" s="1087"/>
      <c r="I196" s="1087"/>
      <c r="J196" s="1087"/>
      <c r="K196" s="1087"/>
      <c r="L196" s="1087"/>
      <c r="M196" s="543"/>
      <c r="N196" s="544"/>
    </row>
    <row r="197" spans="1:22" x14ac:dyDescent="0.25">
      <c r="A197" s="427"/>
      <c r="B197" s="1080"/>
      <c r="C197" s="1081"/>
      <c r="D197" s="1081"/>
      <c r="E197" s="1081"/>
      <c r="F197" s="1081"/>
      <c r="G197" s="1081"/>
      <c r="H197" s="1081"/>
      <c r="I197" s="1081"/>
      <c r="J197" s="1081"/>
      <c r="K197" s="1081"/>
      <c r="L197" s="1081"/>
      <c r="M197" s="545"/>
      <c r="N197" s="433"/>
    </row>
    <row r="198" spans="1:22" ht="15.75" thickBot="1" x14ac:dyDescent="0.3">
      <c r="A198" s="427"/>
      <c r="B198" s="1082"/>
      <c r="C198" s="1082"/>
      <c r="D198" s="1082"/>
      <c r="E198" s="1082"/>
      <c r="F198" s="1082"/>
      <c r="G198" s="1082"/>
      <c r="H198" s="1082"/>
      <c r="I198" s="1082"/>
      <c r="J198" s="1082"/>
      <c r="K198" s="1082"/>
      <c r="L198" s="1082"/>
      <c r="M198" s="498"/>
      <c r="N198" s="433"/>
      <c r="O198" s="546" t="s">
        <v>1362</v>
      </c>
      <c r="P198" s="460" t="str">
        <f>IFERROR(VLOOKUP(O198,$D$156:$D$192,1,FALSE),"")</f>
        <v/>
      </c>
      <c r="Q198" s="460" t="str">
        <f>IFERROR(VLOOKUP(O198,$F$156:$F$192,1,FALSE),"")</f>
        <v/>
      </c>
      <c r="R198" s="460" t="str">
        <f>IFERROR(VLOOKUP(O198,$H$156:$H$192,1,FALSE),"")</f>
        <v/>
      </c>
      <c r="S198" s="460" t="str">
        <f>IFERROR(VLOOKUP(O198,$J$156:$J$192,1,FALSE),"")</f>
        <v/>
      </c>
      <c r="T198" s="460" t="str">
        <f>IFERROR(VLOOKUP(O198,$L$156:$L$192,1,FALSE),"")</f>
        <v/>
      </c>
      <c r="U198" s="546"/>
      <c r="V198" s="460"/>
    </row>
    <row r="199" spans="1:22" x14ac:dyDescent="0.25">
      <c r="A199" s="427"/>
      <c r="B199" s="547" t="s">
        <v>1313</v>
      </c>
      <c r="C199" s="548"/>
      <c r="D199" s="1083">
        <f>D2</f>
        <v>0</v>
      </c>
      <c r="E199" s="1083"/>
      <c r="F199" s="1083"/>
      <c r="G199" s="1084"/>
      <c r="H199" s="1085" t="s">
        <v>1314</v>
      </c>
      <c r="I199" s="1085"/>
      <c r="J199" s="1083">
        <f>D4</f>
        <v>0</v>
      </c>
      <c r="K199" s="1083"/>
      <c r="L199" s="549" t="str">
        <f ca="1">L4</f>
        <v/>
      </c>
      <c r="M199" s="498"/>
      <c r="N199" s="433"/>
      <c r="O199" s="546"/>
      <c r="P199" s="460"/>
      <c r="Q199" s="460"/>
      <c r="R199" s="460"/>
      <c r="S199" s="460"/>
      <c r="T199" s="460"/>
      <c r="U199" s="546"/>
      <c r="V199" s="460"/>
    </row>
    <row r="200" spans="1:22" x14ac:dyDescent="0.25">
      <c r="A200" s="427"/>
      <c r="B200" s="550" t="s">
        <v>1315</v>
      </c>
      <c r="C200" s="548"/>
      <c r="D200" s="1071">
        <f>D6</f>
        <v>0</v>
      </c>
      <c r="E200" s="1071"/>
      <c r="F200" s="1071"/>
      <c r="G200" s="1072"/>
      <c r="H200" s="1086" t="s">
        <v>1316</v>
      </c>
      <c r="I200" s="1086"/>
      <c r="J200" s="1071">
        <f>D8</f>
        <v>0</v>
      </c>
      <c r="K200" s="1074"/>
      <c r="L200" s="1075"/>
      <c r="M200" s="498"/>
      <c r="N200" s="433"/>
      <c r="O200" s="546"/>
      <c r="P200" s="460"/>
      <c r="Q200" s="460"/>
      <c r="R200" s="460"/>
      <c r="S200" s="460"/>
      <c r="T200" s="460"/>
      <c r="U200" s="546"/>
      <c r="V200" s="460"/>
    </row>
    <row r="201" spans="1:22" x14ac:dyDescent="0.25">
      <c r="A201" s="427"/>
      <c r="B201" s="550" t="s">
        <v>1318</v>
      </c>
      <c r="C201" s="548"/>
      <c r="D201" s="1071">
        <f>D12</f>
        <v>0</v>
      </c>
      <c r="E201" s="1071"/>
      <c r="F201" s="1071"/>
      <c r="G201" s="1072"/>
      <c r="H201" s="1073" t="s">
        <v>1317</v>
      </c>
      <c r="I201" s="1073"/>
      <c r="J201" s="1071">
        <f>D10</f>
        <v>0</v>
      </c>
      <c r="K201" s="1074"/>
      <c r="L201" s="1075"/>
      <c r="M201" s="498"/>
      <c r="N201" s="433"/>
      <c r="O201" s="546"/>
      <c r="P201" s="460"/>
      <c r="Q201" s="460"/>
      <c r="R201" s="460"/>
      <c r="S201" s="460"/>
      <c r="T201" s="460"/>
      <c r="U201" s="546"/>
      <c r="V201" s="460"/>
    </row>
    <row r="202" spans="1:22" ht="15.75" thickBot="1" x14ac:dyDescent="0.3">
      <c r="A202" s="427"/>
      <c r="B202" s="551" t="s">
        <v>1319</v>
      </c>
      <c r="C202" s="548"/>
      <c r="D202" s="1076">
        <f>D14</f>
        <v>0</v>
      </c>
      <c r="E202" s="1077"/>
      <c r="F202" s="1078"/>
      <c r="G202" s="1077"/>
      <c r="H202" s="1078"/>
      <c r="I202" s="1077"/>
      <c r="J202" s="1078"/>
      <c r="K202" s="1077"/>
      <c r="L202" s="1079"/>
      <c r="M202" s="498"/>
      <c r="N202" s="433"/>
      <c r="O202" s="546"/>
      <c r="P202" s="460"/>
      <c r="Q202" s="460"/>
      <c r="R202" s="460"/>
      <c r="S202" s="460"/>
      <c r="T202" s="460"/>
      <c r="U202" s="546"/>
      <c r="V202" s="460"/>
    </row>
    <row r="203" spans="1:22" x14ac:dyDescent="0.25">
      <c r="A203" s="427"/>
      <c r="B203" s="552" t="s">
        <v>1360</v>
      </c>
      <c r="C203" s="553"/>
      <c r="D203" s="554" t="s">
        <v>1324</v>
      </c>
      <c r="E203" s="555"/>
      <c r="F203" s="556" t="s">
        <v>1363</v>
      </c>
      <c r="G203" s="557"/>
      <c r="H203" s="556" t="s">
        <v>1326</v>
      </c>
      <c r="I203" s="555"/>
      <c r="J203" s="556" t="s">
        <v>1327</v>
      </c>
      <c r="K203" s="555"/>
      <c r="L203" s="556" t="s">
        <v>1328</v>
      </c>
      <c r="M203" s="498"/>
      <c r="N203" s="433"/>
      <c r="O203" s="546" t="s">
        <v>1364</v>
      </c>
      <c r="P203" s="460" t="str">
        <f t="shared" ref="P203:P208" si="6">IFERROR(VLOOKUP(O203,$D$156:$D$192,1,FALSE),"")</f>
        <v/>
      </c>
      <c r="Q203" s="460" t="str">
        <f t="shared" ref="Q203:Q210" si="7">IFERROR(VLOOKUP(O203,$F$156:$F$192,1,FALSE),"")</f>
        <v/>
      </c>
      <c r="R203" s="460" t="str">
        <f t="shared" ref="R203:R210" si="8">IFERROR(VLOOKUP(O203,$H$156:$H$192,1,FALSE),"")</f>
        <v/>
      </c>
      <c r="S203" s="460" t="str">
        <f t="shared" ref="S203:S210" si="9">IFERROR(VLOOKUP(O203,$J$156:$J$192,1,FALSE),"")</f>
        <v/>
      </c>
      <c r="T203" s="460" t="str">
        <f t="shared" ref="T203:T210" si="10">IFERROR(VLOOKUP(O203,$L$156:$L$192,1,FALSE),"")</f>
        <v/>
      </c>
      <c r="U203" s="546"/>
    </row>
    <row r="204" spans="1:22" ht="14.25" customHeight="1" x14ac:dyDescent="0.25">
      <c r="A204" s="427"/>
      <c r="B204" s="558" t="str">
        <f>IF(O204="BAL Low","Managed Lands","")</f>
        <v/>
      </c>
      <c r="C204" s="559"/>
      <c r="D204" s="560" t="str">
        <f>IF(D194="&gt;50","YES","")</f>
        <v/>
      </c>
      <c r="E204" s="555"/>
      <c r="F204" s="561" t="str">
        <f>IF(F194="&gt;50","YES","")</f>
        <v/>
      </c>
      <c r="G204" s="557"/>
      <c r="H204" s="561" t="str">
        <f>IF(H194="&gt;50","YES","")</f>
        <v/>
      </c>
      <c r="I204" s="555"/>
      <c r="J204" s="561" t="str">
        <f>IF(J194="&gt;50","YES","")</f>
        <v/>
      </c>
      <c r="K204" s="555"/>
      <c r="L204" s="562" t="str">
        <f>IF(L194="&gt;50","YES","")</f>
        <v/>
      </c>
      <c r="M204" s="498"/>
      <c r="N204" s="433"/>
      <c r="O204" s="546" t="str">
        <f>IF(D204="YES","BAL Low",IF(F204="YES","BAL Low",IF(H204="YES","BAL Low",IF(J204="YES","BAL Low",IF(L204="YES","BAL Low","")))))</f>
        <v/>
      </c>
      <c r="P204" s="460"/>
      <c r="Q204" s="460"/>
      <c r="R204" s="460"/>
      <c r="S204" s="460"/>
      <c r="T204" s="460"/>
      <c r="U204" s="546"/>
    </row>
    <row r="205" spans="1:22" s="390" customFormat="1" ht="14.25" customHeight="1" x14ac:dyDescent="0.25">
      <c r="A205" s="427"/>
      <c r="B205" s="563" t="str">
        <f>IF(O156="Forests","Forests",IF(P156="Forests","Forests",IF(Q156="Forests","Forests",IF(R156="Forests","Forests",IF(S156="Forests","Forests",IF(O166="Woodlands","Woodlands",IF(P166="Woodlands","Woodlands",IF(Q166="Woodlands","Woodlands",IF(R166="Woodlands","Woodlands",IF(S166="Woodlands","Woodlands",IF(O172="Shrubland","Shrubland",IF(P172="Shrubland","Shrubland",IF(Q172="Shrubland","Shrubland",IF(R172="Shrubland","Shrubland",IF(S172="Shrubland","Shrubland",IF(O178="Scrub","Scrub",IF(P178="Scrub","Scrub",IF(Q178="Scrub","Scrub",IF(R178="Scrub","Scrub",IF(S178="Scrub","Scrub",IF(O188="Grassland","Grassland",IF(P188="Grassland","Grassland",IF(Q188="Grassland","Grassland",IF(R188="Grassland","Grassland",IF(S188="Grassland","Grassland","")))))))))))))))))))))))))</f>
        <v/>
      </c>
      <c r="C205" s="564"/>
      <c r="D205" s="565"/>
      <c r="E205" s="555"/>
      <c r="F205" s="566"/>
      <c r="G205" s="557"/>
      <c r="H205" s="566"/>
      <c r="I205" s="555"/>
      <c r="J205" s="566"/>
      <c r="K205" s="555"/>
      <c r="L205" s="567"/>
      <c r="M205" s="498"/>
      <c r="N205" s="433"/>
      <c r="P205" s="460"/>
      <c r="Q205" s="460"/>
      <c r="R205" s="460"/>
      <c r="S205" s="460"/>
      <c r="T205" s="460"/>
      <c r="U205" s="546"/>
    </row>
    <row r="206" spans="1:22" ht="14.25" customHeight="1" x14ac:dyDescent="0.25">
      <c r="A206" s="427"/>
      <c r="B206" s="568" t="s">
        <v>1365</v>
      </c>
      <c r="C206" s="559"/>
      <c r="D206" s="565" t="str">
        <f>IF(D156="&lt;16","&lt;16",IF(D156="16&lt;21","16&lt;21",IF(D156="21&lt;31","21&lt;31",IF(D156="31&lt;42","31&lt;42",IF(D156="42&lt;100","42&lt;100",IF(D166="&lt;10","&lt;10",IF(D166="10&lt;14","10&lt;14",IF(D166="14&lt;20","14&lt;20",IF(D166="20&lt;29","20&lt;29",IF(D166="20&lt;29","20&lt;29",IF(D166="29&lt;100","29&lt;100",IF(D172="&lt;7","&lt;7",IF(D172="7&lt;9","7&lt;9",IF(D172="9&lt;13","9&lt;13",IF(D172="13&lt;19","13&lt;19",IF(D172="19&lt;100","19&lt;100",IF(D178="&lt;10","&lt;10",IF(D178="10&lt;13","10&lt;13",IF(D178="13&lt;19","13&lt;19",IF(D178="19&lt;27","19&lt;27",IF(D178="27&lt;100","27&lt;100",IF(D188="&lt;6","&lt;6",IF(D188="6&lt;8","6&lt;8",IF(D188="8&lt;12","8&lt;12",IF(D188="13&lt;17","13&lt;17",IF(D188="17&lt;50","17&lt;50",IF(D204="YES","&gt;50","")))))))))))))))))))))))))))</f>
        <v/>
      </c>
      <c r="E206" s="555"/>
      <c r="F206" s="567" t="str">
        <f>IF(F156="&lt;20","&lt;20",IF(F156="20&lt;27","20&lt;27",IF(F156="27&lt;37","27&lt;37",IF(F156="37&lt;50","37&lt;50",IF(F156="50&lt;100","50&lt;100",IF(F166="&lt;13","&lt;13",IF(F166="13&lt;17","13&lt;17",IF(F166="17&lt;25","17&lt;25",IF(F166="25&lt;35","25&lt;35",IF(F166="35&lt;100","35&lt;100",IF(F172="&lt;7","&lt;7",IF(F172="7&lt;10","7&lt;10",IF(F172="10&lt;15","10&lt;15",IF(F172="15&lt;22","15&lt;22",IF(F172="22&lt;100","22&lt;100",IF(F178="&lt;11","&lt;11",IF(F178="11&lt;15","11&lt;15",IF(F178="15&lt;22","15&lt;22",IF(F178="22&lt;31","22&lt;31",IF(F178="31&lt;100","31&lt;100",IF(F188="&lt;7","&lt;7",IF(F188="7&lt;9","7&lt;9",IF(F188="9&lt;14","9&lt;14",IF(F188="14&lt;20","14&lt;20",IF(F188="20&lt;50","20&lt;50",IF(F204="YES","&gt;50",""))))))))))))))))))))))))))</f>
        <v/>
      </c>
      <c r="G206" s="569" t="str">
        <f>IF(G156="&lt;20","&lt;20",IF(G156="20&lt;27","20&lt;27",IF(G156="27&lt;37","27&lt;37",IF(G156="37&lt;50","37&lt;50",IF(G156="50&lt;100","50&lt;100",IF(G166="&lt;13","&lt;13",IF(G166="13&lt;17","13&lt;17",IF(G166="17&lt;25","17&lt;25",IF(G166="25&lt;35","25&lt;35",IF(G166="35&lt;100","35&lt;100",IF(G172="&lt;7","&lt;7",IF(G172="7&lt;10","7&lt;10",IF(G172="10&lt;15","10&lt;15",IF(G172="15&lt;22","15&lt;22",IF(G172="22&lt;100","22&lt;100",IF(G178="&lt;11","&lt;11",IF(G178="11&lt;15","11&lt;15",IF(G178="15&lt;22","15&lt;22",IF(G178="22&lt;31","22&lt;31",IF(G178="31&lt;100","31&lt;100",IF(G188="&lt;7","&lt;7",IF(G188="7&lt;9","7&lt;9",IF(G188="9&lt;14","9&lt;14",IF(G188="14&lt;20","14&lt;20",IF(G188="20&lt;50","20&lt;50","")))))))))))))))))))))))))</f>
        <v/>
      </c>
      <c r="H206" s="567" t="str">
        <f>IF(H156="&lt;26","&lt;26",IF(H156="26&lt;33","26&lt;33",IF(H156="33&lt;46","33&lt;46",IF(H156="46&lt;61","46&lt;61",IF(H156="61&lt;100","61&lt;100",IF(H166="&lt;16","&lt;16",IF(H166="16&lt;22","16&lt;22",IF(H166="22&lt;31","22&lt;31",IF(H166="31&lt;43","31&lt;43",IF(H166="43&lt;100","43&lt;100",IF(H172="&lt;8","&lt;8",IF(H172="8&lt;11","8&lt;11",IF(H172="11&lt;17","11&lt;17",IF(H172="17&lt;25","17&lt;25",IF(H172="25&lt;100","25&lt;100",IF(H178="&lt;12","&lt;12",IF(H178="12&lt;17","12&lt;17",IF(H178="17&lt;24","17&lt;24",IF(H178="24&lt;35","24&lt;35",IF(H178="35&lt;100","35&lt;100",IF(H188="&lt;8","&lt;8",IF(H188="8&lt;10","8&lt;10",IF(H188="10&lt;16","10&lt;16",IF(H188="16&lt;23","16&lt;23",IF(H188="23&lt;50","23&lt;50",IF(H204="YES","&gt;50",""))))))))))))))))))))))))))</f>
        <v/>
      </c>
      <c r="I206" s="570" t="str">
        <f>IF(I156="&lt;20","&lt;20",IF(I156="20&lt;27","20&lt;27",IF(I156="27&lt;37","27&lt;37",IF(I156="37&lt;50","37&lt;50",IF(I156="50&lt;100","50&lt;100",IF(I166="&lt;13","&lt;13",IF(I166="13&lt;17","13&lt;17",IF(I166="17&lt;25","17&lt;25",IF(I166="25&lt;35","25&lt;35",IF(I166="35&lt;100","35&lt;100",IF(I172="&lt;7","&lt;7",IF(I172="7&lt;10","7&lt;10",IF(I172="10&lt;15","10&lt;15",IF(I172="15&lt;22","15&lt;22",IF(I172="22&lt;100","22&lt;100",IF(I178="&lt;11","&lt;11",IF(I178="11&lt;15","11&lt;15",IF(I178="15&lt;22","15&lt;22",IF(I178="22&lt;31","22&lt;31",IF(I178="31&lt;100","31&lt;100",IF(I188="&lt;7","&lt;7",IF(I188="7&lt;9","7&lt;9",IF(I188="9&lt;14","9&lt;14",IF(I188="14&lt;20","14&lt;20",IF(I188="20&lt;50","20&lt;50","")))))))))))))))))))))))))</f>
        <v/>
      </c>
      <c r="J206" s="567" t="str">
        <f>IF(J156="&lt;33","&lt;33",IF(J156="33&lt;42","33&lt;42",IF(J156="42&lt;56","42&lt;56",IF(J156="56&lt;73","56&lt;73",IF(J156="73&lt;100","73&lt;100",IF(J166="&lt;21","&lt;21",IF(J166="21&lt;28","21&lt;28",IF(J166="28&lt;39","28&lt;39",IF(J166="39&lt;53","39&lt;53",IF(J166="53&lt;100","53&lt;100",IF(J172="&lt;9","&lt;9",IF(J172="9&lt;13","9&lt;13",IF(J172="13&lt;19","13&lt;19",IF(J172="19&lt;28","19&lt;28",IF(J172="28&lt;100","28&lt;100",IF(J178="&lt;14","&lt;14",IF(J178="14&lt;19","14&lt;19",IF(J178="19&lt;28","19&lt;28",IF(J178="28&lt;39","28&lt;39",IF(J178="39&lt;100","39&lt;100",IF(J188="&lt;9","&lt;9",IF(J188="9&lt;12","9&lt;12",IF(J188="12&lt;18","12&lt;18",IF(J188="18&lt;26","18&lt;26",IF(J188="26&lt;50","26&lt;50",IF(J204="YES","&gt;50",""))))))))))))))))))))))))))</f>
        <v/>
      </c>
      <c r="K206" s="570" t="str">
        <f>IF(K156="&lt;20","&lt;20",IF(K156="20&lt;27","20&lt;27",IF(K156="27&lt;37","27&lt;37",IF(K156="37&lt;50","37&lt;50",IF(K156="50&lt;100","50&lt;100",IF(K166="&lt;13","&lt;13",IF(K166="13&lt;17","13&lt;17",IF(K166="17&lt;25","17&lt;25",IF(K166="25&lt;35","25&lt;35",IF(K166="35&lt;100","35&lt;100",IF(K172="&lt;7","&lt;7",IF(K172="7&lt;10","7&lt;10",IF(K172="10&lt;15","10&lt;15",IF(K172="15&lt;22","15&lt;22",IF(K172="22&lt;100","22&lt;100",IF(K178="&lt;11","&lt;11",IF(K178="11&lt;15","11&lt;15",IF(K178="15&lt;22","15&lt;22",IF(K178="22&lt;31","22&lt;31",IF(K178="31&lt;100","31&lt;100",IF(K188="&lt;7","&lt;7",IF(K188="7&lt;9","7&lt;9",IF(K188="9&lt;14","9&lt;14",IF(K188="14&lt;20","14&lt;20",IF(K188="20&lt;50","20&lt;50","")))))))))))))))))))))))))</f>
        <v/>
      </c>
      <c r="L206" s="567" t="str">
        <f>IF(L156="&lt;42","&lt;42",IF(L156="42&lt;52","42&lt;52",IF(L156="52&lt;68","52&lt;68",IF(L156="68&lt;87","68&lt;87",IF(L156="87&lt;100","87&lt;100",IF(L166="&lt;27","&lt;27",IF(L166="27&lt;35","27&lt;35",IF(L166="35&lt;48","35&lt;48",IF(L166="48&lt;64","48&lt;64",IF(L166="64&lt;100","64&lt;100",IF(L172="&lt;10","&lt;10",IF(L172="10&lt;15","10&lt;15",IF(L172="15&lt;22","15&lt;22",IF(L172="22&lt;31","22&lt;31",IF(L172="31&lt;100","31&lt;100",IF(L178="&lt;15","&lt;15",IF(L178="15&lt;21","15&lt;21",IF(L178="21&lt;31","21&lt;31",IF(L178="31&lt;43","31&lt;43",IF(L178="43&lt;100","43&lt;100",IF(L188="&lt;10","&lt;10",IF(L188="10&lt;14","10&lt;14",IF(L188="14&lt;21","14&lt;21",IF(L188="21&lt;30","21&lt;30",IF(L188="30&lt;50","30&lt;50",IF(L204="YES","&gt;50",""))))))))))))))))))))))))))</f>
        <v/>
      </c>
      <c r="M206" s="498"/>
      <c r="N206" s="433"/>
      <c r="O206" s="546"/>
      <c r="P206" s="460"/>
      <c r="Q206" s="460"/>
      <c r="R206" s="460"/>
      <c r="S206" s="460"/>
      <c r="T206" s="460"/>
      <c r="U206" s="546"/>
    </row>
    <row r="207" spans="1:22" ht="14.25" customHeight="1" x14ac:dyDescent="0.25">
      <c r="A207" s="427"/>
      <c r="B207" s="568" t="s">
        <v>1366</v>
      </c>
      <c r="C207" s="559"/>
      <c r="D207" s="565" t="str">
        <f>IF(P198="BALFZ","BALFZ",IF(P203="BAL40","BAL40",IF(P207="BAL29","BAL29",IF(P208="BAL19","BAL19",IF(P210="BAL12.5","BAL12.5",IF(D204="YES","BAL Low",""))))))</f>
        <v/>
      </c>
      <c r="E207" s="555"/>
      <c r="F207" s="567" t="str">
        <f>IF(Q198="BALFZ","BALFZ",IF(Q203="BAL40","BAL40",IF(Q207="BAL29","BAL29",IF(Q208="BAL19","BAL19",IF(Q210="BAL12.5","BAL12.5",IF(F204="YES","BAL Low",""))))))</f>
        <v/>
      </c>
      <c r="G207" s="557"/>
      <c r="H207" s="567" t="str">
        <f>IF(R198="BALFZ","BALFZ",IF(R203="BAL40","BAL40",IF(R207="BAL29","BAL29",IF(R208="BAL19","BAL19",IF(R210="BAL12.5","BAL12.5",IF(H204="YES","BAL Low",""))))))</f>
        <v/>
      </c>
      <c r="I207" s="555"/>
      <c r="J207" s="567" t="str">
        <f>IF(S198="BALFZ","BALFZ",IF(S203="BAL40","BAL40",IF(S207="BAL29","BAL29",IF(S208="BAL19","BAL19",IF(S210="BAL12.5","BAL12.5",IF(J204="YES","BAL Low",""))))))</f>
        <v/>
      </c>
      <c r="K207" s="555"/>
      <c r="L207" s="567" t="str">
        <f>IF(T198="BALFZ","BALFZ",IF(T203="BAL40","BAL40",IF(T207="BAL29","BAL29",IF(T208="BAL19","BAL19",IF(T210="BAL12.5","BAL12.5",IF(L204="YES","BAL Low",""))))))</f>
        <v/>
      </c>
      <c r="M207" s="498"/>
      <c r="N207" s="433"/>
      <c r="O207" s="546" t="s">
        <v>1367</v>
      </c>
      <c r="P207" s="460" t="str">
        <f t="shared" si="6"/>
        <v/>
      </c>
      <c r="Q207" s="460" t="str">
        <f t="shared" si="7"/>
        <v/>
      </c>
      <c r="R207" s="460" t="str">
        <f t="shared" si="8"/>
        <v/>
      </c>
      <c r="S207" s="460" t="str">
        <f t="shared" si="9"/>
        <v/>
      </c>
      <c r="T207" s="460" t="str">
        <f t="shared" si="10"/>
        <v/>
      </c>
      <c r="U207" s="571"/>
    </row>
    <row r="208" spans="1:22" ht="14.25" customHeight="1" x14ac:dyDescent="0.25">
      <c r="A208" s="427"/>
      <c r="B208" s="568" t="str">
        <f>IF(B206="Scrub","Tall Heath APZ","APZ")</f>
        <v>APZ</v>
      </c>
      <c r="C208" s="559"/>
      <c r="D208" s="565" t="str">
        <f>IF(D158=20,20,IF(D168=10,10,IF(D174=10,10,IF(D180=15,15,IF(D190=10,10,IF(D204="YES",10,""))))))</f>
        <v/>
      </c>
      <c r="E208" s="555"/>
      <c r="F208" s="567" t="str">
        <f>IF(F158=20,20,IF(F168=15,15,IF(F174=10,10,IF(F180=15,15,IF(F190=10,10,IF(F204="YES",10,""))))))</f>
        <v/>
      </c>
      <c r="G208" s="557"/>
      <c r="H208" s="567" t="str">
        <f>IF(H158=30,30,IF(H168=15,15,IF(H174=10,10,IF(H180=20,20,IF(H190=10,10,IF(H204="YES",10,""))))))</f>
        <v/>
      </c>
      <c r="I208" s="555"/>
      <c r="J208" s="567" t="str">
        <f>IF(J158=40,40,IF(J168=20,20,IF(J174=10,10,IF(J180=20,20,IF(J190=10,10,IF(J204="YES",10,""))))))</f>
        <v/>
      </c>
      <c r="K208" s="555"/>
      <c r="L208" s="567" t="str">
        <f>IF(L158=45,45,IF(L168=25,25,IF(L174=15,15,IF(L180=20,20,IF(L190=10,10,IF(L204="YES",10,""))))))</f>
        <v/>
      </c>
      <c r="M208" s="498"/>
      <c r="N208" s="433"/>
      <c r="O208" s="546" t="s">
        <v>1368</v>
      </c>
      <c r="P208" s="460" t="str">
        <f t="shared" si="6"/>
        <v/>
      </c>
      <c r="Q208" s="460" t="str">
        <f t="shared" si="7"/>
        <v/>
      </c>
      <c r="R208" s="460" t="str">
        <f t="shared" si="8"/>
        <v/>
      </c>
      <c r="S208" s="460" t="str">
        <f t="shared" si="9"/>
        <v/>
      </c>
      <c r="T208" s="460" t="str">
        <f t="shared" si="10"/>
        <v/>
      </c>
      <c r="U208" s="571"/>
    </row>
    <row r="209" spans="1:25" ht="14.25" customHeight="1" x14ac:dyDescent="0.25">
      <c r="A209" s="427"/>
      <c r="B209" s="568" t="str">
        <f>IF(B205="Forests","Pine Plantation APZ",IF(B205="Scrub","Short Heath APZ",""))</f>
        <v/>
      </c>
      <c r="C209" s="559"/>
      <c r="D209" s="565" t="str">
        <f>IF(D162=15,15,IF(D184=10,10,""))</f>
        <v/>
      </c>
      <c r="E209" s="555"/>
      <c r="F209" s="567" t="str">
        <f>IF(F162=20,20,IF(F184=10,10,""))</f>
        <v/>
      </c>
      <c r="G209" s="557"/>
      <c r="H209" s="567" t="str">
        <f>IF(H162=25,25,IF(H184=10,10,""))</f>
        <v/>
      </c>
      <c r="I209" s="555"/>
      <c r="J209" s="567" t="str">
        <f>IF(J162=35,35,IF(J184=15,15,""))</f>
        <v/>
      </c>
      <c r="K209" s="555"/>
      <c r="L209" s="567" t="str">
        <f>IF(L162=40,40,IF(L184=15,15,""))</f>
        <v/>
      </c>
      <c r="M209" s="498"/>
      <c r="N209" s="433"/>
      <c r="O209" s="546"/>
      <c r="P209" s="460"/>
      <c r="Q209" s="460"/>
      <c r="R209" s="460"/>
      <c r="S209" s="460"/>
      <c r="T209" s="460"/>
      <c r="U209" s="571"/>
    </row>
    <row r="210" spans="1:25" ht="14.25" customHeight="1" x14ac:dyDescent="0.25">
      <c r="A210" s="427"/>
      <c r="B210" s="568" t="str">
        <f>IF(B206="Scrub","Tall Heath IPA","IPA")</f>
        <v>IPA</v>
      </c>
      <c r="C210" s="559"/>
      <c r="D210" s="565" t="str">
        <f>IF(D159=10,10,IF(D169=10,10,IF(D175=10,10,IF(D181=15,15,IF(D191=10,10,"")))))</f>
        <v/>
      </c>
      <c r="E210" s="555"/>
      <c r="F210" s="567" t="str">
        <f>IF(F159=15,15,IF(F169=15,15,IF(F175=10,10,IF(F181=15,15,IF(F191=10,10,"")))))</f>
        <v/>
      </c>
      <c r="G210" s="557"/>
      <c r="H210" s="567" t="str">
        <f>IF(H159=15,15,IF(H169=15,15,IF(H175=10,10,IF(H181=20,20,IF(H191=10,10,"")))))</f>
        <v/>
      </c>
      <c r="I210" s="555"/>
      <c r="J210" s="567" t="str">
        <f>IF(J159=20,20,IF(J169=20,20,IF(J175=10,10,IF(J181=20,20,IF(J191=10,10,"")))))</f>
        <v/>
      </c>
      <c r="K210" s="555"/>
      <c r="L210" s="567" t="str">
        <f>IF(L159=25,25,IF(L169=25,25,IF(L175=15,15,IF(L181=20,20,IF(L191=10,10,"")))))</f>
        <v/>
      </c>
      <c r="M210" s="498"/>
      <c r="N210" s="433"/>
      <c r="O210" s="546" t="s">
        <v>1369</v>
      </c>
      <c r="P210" s="460" t="str">
        <f>IFERROR(VLOOKUP(O210,$D$156:$D$192,1,FALSE),"")</f>
        <v/>
      </c>
      <c r="Q210" s="460" t="str">
        <f t="shared" si="7"/>
        <v/>
      </c>
      <c r="R210" s="460" t="str">
        <f t="shared" si="8"/>
        <v/>
      </c>
      <c r="S210" s="460" t="str">
        <f t="shared" si="9"/>
        <v/>
      </c>
      <c r="T210" s="460" t="str">
        <f t="shared" si="10"/>
        <v/>
      </c>
      <c r="U210" s="546"/>
    </row>
    <row r="211" spans="1:25" ht="14.25" customHeight="1" x14ac:dyDescent="0.25">
      <c r="A211" s="427"/>
      <c r="B211" s="568" t="str">
        <f>IF(B205="Forests","Pine Plantation IPA",IF(B205="Scrub","Short Heath IPA",""))</f>
        <v/>
      </c>
      <c r="C211" s="559"/>
      <c r="D211" s="565" t="str">
        <f>IF(D163=15,15,IF(D185=10,10,""))</f>
        <v/>
      </c>
      <c r="E211" s="555"/>
      <c r="F211" s="566" t="str">
        <f>IF(F163=20,20,IF(F185=10,10,""))</f>
        <v/>
      </c>
      <c r="G211" s="557"/>
      <c r="H211" s="566" t="str">
        <f>IF(H163=25,25,IF(H185=10,10,""))</f>
        <v/>
      </c>
      <c r="I211" s="555"/>
      <c r="J211" s="566" t="str">
        <f>IF(J163=35,35,IF(J185=15,15,""))</f>
        <v/>
      </c>
      <c r="K211" s="555"/>
      <c r="L211" s="567" t="str">
        <f>IF(L163=40,40,IF(L185=15,15,""))</f>
        <v/>
      </c>
      <c r="M211" s="498"/>
      <c r="N211" s="433"/>
      <c r="O211" s="546"/>
      <c r="P211" s="460"/>
      <c r="Q211" s="460"/>
      <c r="R211" s="460"/>
      <c r="S211" s="460"/>
      <c r="T211" s="460"/>
      <c r="U211" s="546"/>
    </row>
    <row r="212" spans="1:25" ht="14.25" customHeight="1" x14ac:dyDescent="0.25">
      <c r="A212" s="427"/>
      <c r="B212" s="568" t="str">
        <f>IF(B206="Scrub","Tall Heath OPA","OPA")</f>
        <v>OPA</v>
      </c>
      <c r="C212" s="559"/>
      <c r="D212" s="565" t="str">
        <f>IF(D160=10,10,IF(D170=0,0,IF(D176=0,0,IF(D182=0,0,IF(D192=0,0,"")))))</f>
        <v/>
      </c>
      <c r="E212" s="555"/>
      <c r="F212" s="566" t="str">
        <f>IF(F160=5,5,IF(F170=0,0,IF(F176=0,0,IF(F182=0,0,IF(F192=0,0,"")))))</f>
        <v/>
      </c>
      <c r="G212" s="557"/>
      <c r="H212" s="566" t="str">
        <f>IF(H160=15,15,IF(H170=0,0,IF(H176=0,0,IF(H182=0,0,IF(H192=0,0,"")))))</f>
        <v/>
      </c>
      <c r="I212" s="555"/>
      <c r="J212" s="566" t="str">
        <f>IF(J160=20,20,IF(J170=0,0,IF(J176=0,0,IF(J182=0,0,IF(J192=0,0,"")))))</f>
        <v/>
      </c>
      <c r="K212" s="555"/>
      <c r="L212" s="572" t="str">
        <f>IF(L160=20,20,IF(L170=0,0,IF(L176=0,0,IF(L182=0,0,IF(L192=0,0,"")))))</f>
        <v/>
      </c>
      <c r="M212" s="498"/>
      <c r="N212" s="433"/>
      <c r="O212" s="546"/>
      <c r="P212" s="546"/>
      <c r="Q212" s="546"/>
      <c r="R212" s="546"/>
      <c r="S212" s="546"/>
      <c r="T212" s="546"/>
      <c r="U212" s="546"/>
    </row>
    <row r="213" spans="1:25" ht="14.25" customHeight="1" thickBot="1" x14ac:dyDescent="0.3">
      <c r="A213" s="427"/>
      <c r="B213" s="573" t="str">
        <f>IF(B205="Forests","Pine Plantation OPA",IF(B205="Scrub","Short Heath OPA",""))</f>
        <v/>
      </c>
      <c r="C213" s="553"/>
      <c r="D213" s="574" t="str">
        <f>IF(D164=0,0,IF(D186=0,0,""))</f>
        <v/>
      </c>
      <c r="E213" s="575"/>
      <c r="F213" s="576" t="str">
        <f>IF(F164=0,0,IF(F186=0,0,""))</f>
        <v/>
      </c>
      <c r="G213" s="577"/>
      <c r="H213" s="576" t="str">
        <f>IF(H164=0,0,IF(H186=0,0,""))</f>
        <v/>
      </c>
      <c r="I213" s="555"/>
      <c r="J213" s="576" t="str">
        <f>IF(J164=0,0,IF(J186=0,0,""))</f>
        <v/>
      </c>
      <c r="K213" s="555"/>
      <c r="L213" s="576" t="str">
        <f>IF(L164=0,0,IF(L186=0,0,""))</f>
        <v/>
      </c>
      <c r="M213" s="498"/>
      <c r="N213" s="433"/>
      <c r="O213" s="546"/>
      <c r="P213" s="546"/>
      <c r="Q213" s="546"/>
      <c r="R213" s="546"/>
      <c r="S213" s="546"/>
      <c r="T213" s="546"/>
      <c r="U213" s="546"/>
    </row>
    <row r="214" spans="1:25" ht="6.75" customHeight="1" thickBot="1" x14ac:dyDescent="0.3">
      <c r="A214" s="427"/>
      <c r="B214" s="578"/>
      <c r="C214" s="559"/>
      <c r="D214" s="579"/>
      <c r="E214" s="580"/>
      <c r="F214" s="579"/>
      <c r="G214" s="581"/>
      <c r="H214" s="579"/>
      <c r="I214" s="555"/>
      <c r="J214" s="579"/>
      <c r="K214" s="582"/>
      <c r="L214" s="579"/>
      <c r="M214" s="498"/>
      <c r="N214" s="433"/>
      <c r="O214" s="546"/>
      <c r="P214" s="546"/>
      <c r="Q214" s="546"/>
      <c r="R214" s="546"/>
      <c r="S214" s="546"/>
      <c r="T214" s="546"/>
      <c r="U214" s="546"/>
    </row>
    <row r="215" spans="1:25" x14ac:dyDescent="0.25">
      <c r="A215" s="427"/>
      <c r="B215" s="552" t="s">
        <v>1359</v>
      </c>
      <c r="C215" s="583"/>
      <c r="D215" s="584" t="s">
        <v>1324</v>
      </c>
      <c r="E215" s="575"/>
      <c r="F215" s="556" t="s">
        <v>1363</v>
      </c>
      <c r="G215" s="557"/>
      <c r="H215" s="556" t="s">
        <v>1326</v>
      </c>
      <c r="I215" s="555"/>
      <c r="J215" s="556" t="s">
        <v>1327</v>
      </c>
      <c r="K215" s="555"/>
      <c r="L215" s="585" t="s">
        <v>1328</v>
      </c>
      <c r="M215" s="498"/>
      <c r="N215" s="433"/>
      <c r="O215" s="546" t="s">
        <v>1362</v>
      </c>
      <c r="P215" s="460" t="str">
        <f>IFERROR(VLOOKUP(O215,$D$111:$D$147,1,FALSE),"")</f>
        <v/>
      </c>
      <c r="Q215" s="460" t="str">
        <f>IFERROR(VLOOKUP(O215,$F$111:$F$147,1,FALSE),"")</f>
        <v/>
      </c>
      <c r="R215" s="460" t="str">
        <f>IFERROR(VLOOKUP(O215,$H$111:$H$147,1,FALSE),"")</f>
        <v/>
      </c>
      <c r="S215" s="460" t="str">
        <f>IFERROR(VLOOKUP(O215,$J$111:$J$147,1,FALSE),"")</f>
        <v/>
      </c>
      <c r="T215" s="460" t="str">
        <f>IFERROR(VLOOKUP(O215,$L$111:$L$147,1,FALSE),"")</f>
        <v/>
      </c>
      <c r="U215" s="546"/>
    </row>
    <row r="216" spans="1:25" s="390" customFormat="1" ht="13.5" customHeight="1" x14ac:dyDescent="0.25">
      <c r="A216" s="427"/>
      <c r="B216" s="558" t="str">
        <f>IF(O216="BAL Low","Managed Lands","")</f>
        <v/>
      </c>
      <c r="C216" s="564"/>
      <c r="D216" s="586" t="str">
        <f>IF(D149="&gt;50","YES","")</f>
        <v/>
      </c>
      <c r="E216" s="575"/>
      <c r="F216" s="561" t="str">
        <f>IF(F149="&gt;50","YES","")</f>
        <v/>
      </c>
      <c r="G216" s="557"/>
      <c r="H216" s="561" t="str">
        <f>IF(H149="&gt;50","YES","")</f>
        <v/>
      </c>
      <c r="I216" s="555"/>
      <c r="J216" s="561" t="str">
        <f>IF(J149="&gt;50","YES","")</f>
        <v/>
      </c>
      <c r="K216" s="555"/>
      <c r="L216" s="587" t="str">
        <f>IF(L149="&gt;50","YES","")</f>
        <v/>
      </c>
      <c r="M216" s="498"/>
      <c r="N216" s="433"/>
      <c r="O216" s="546" t="str">
        <f>IF(D149="&gt;50","BAL Low",IF(F149="&gt;50","BAL Low",IF(H149="&gt;50","BAL Low",IF(1502="&gt;50","BAL Low",IF(L149="&gt;50","BAL Low","")))))</f>
        <v/>
      </c>
      <c r="P216" s="460"/>
      <c r="Q216" s="460"/>
      <c r="R216" s="460"/>
      <c r="S216" s="460"/>
      <c r="T216" s="460"/>
      <c r="U216" s="546"/>
    </row>
    <row r="217" spans="1:25" s="390" customFormat="1" ht="13.5" customHeight="1" x14ac:dyDescent="0.25">
      <c r="A217" s="427"/>
      <c r="B217" s="563" t="str">
        <f>IF(O111="Forests","Forests",IF(P111="Forests","Forests",IF(Q111="Forests","Forests",IF(R111="Forests","Forests",IF(S111="Forests","Forests",IF(O121="Woodlands","Woodlands",IF(P121="Woodlands","Woodlands",IF(Q121="Woodlands","Woodlands",IF(R121="Woodlands","Woodlands",IF(S121="Woodlands","Woodlands",IF(O127="Shrubland","Shrubland",IF(P127="Shrubland","Shrubland",IF(Q127="Shrubland","Shrubland",IF(R127="Shrubland","Shrubland",IF(S127="Shrubland","Shrubland",IF(O133="Scrub","Scrub",IF(P133="Scrub","Scrub",IF(Q133="Scrub","Scrub",IF(R133="Scrub","Scrub",IF(S133="Scrub","Scrub",IF(O143="Grassland","Grassland",IF(P143="Grassland","Grassland",IF(Q143="Grassland","Grassland",IF(R143="Grassland","Grassland",IF(S143="Grassland","Grassland","")))))))))))))))))))))))))</f>
        <v/>
      </c>
      <c r="C217" s="564"/>
      <c r="D217" s="588"/>
      <c r="E217" s="575"/>
      <c r="F217" s="589"/>
      <c r="G217" s="557"/>
      <c r="H217" s="589"/>
      <c r="I217" s="555"/>
      <c r="J217" s="589"/>
      <c r="K217" s="555"/>
      <c r="L217" s="587"/>
      <c r="M217" s="498"/>
      <c r="N217" s="433"/>
      <c r="O217" s="546"/>
      <c r="P217" s="460"/>
      <c r="Q217" s="460"/>
      <c r="R217" s="460"/>
      <c r="S217" s="460"/>
      <c r="T217" s="460"/>
      <c r="U217" s="546"/>
    </row>
    <row r="218" spans="1:25" ht="13.5" customHeight="1" x14ac:dyDescent="0.25">
      <c r="A218" s="427"/>
      <c r="B218" s="590" t="s">
        <v>1365</v>
      </c>
      <c r="C218" s="559"/>
      <c r="D218" s="591" t="str">
        <f>IF(D111="&lt;16","&lt;16",IF(D111="16&lt;21","16&lt;21",IF(D111="21&lt;31","21&lt;31",IF(D111="31&lt;42","31&lt;42",IF(D111="42&lt;100","42&lt;100",IF(D121="&lt;10","&lt;10",IF(D121="10&lt;14","10&lt;14",IF(D121="14&lt;20","14&lt;20",IF(D121="20&lt;29","20&lt;29",IF(D121="20&lt;29","20&lt;29",IF(D121="29&lt;100","29&lt;100",IF(D127="&lt;7","7",IF(D127="7&lt;9","7&lt;9",IF(D127="9&lt;13","9&lt;13",IF(D127="13&lt;19","13&lt;19",IF(D127="19&lt;100","19&lt;100",IF(D133="&lt;10","&lt;10",IF(D133="10&lt;13","10&lt;13",IF(D133="13&lt;19","13&lt;19",IF(D133="19&lt;27","19&lt;27",IF(D133="27&lt;100","27&lt;100",IF(D143="&lt;6","&lt;6",IF(D143="6&lt;8","6&lt;8",IF(D143="8&lt;12","8&lt;12",IF(D143="13&lt;17","13&lt;17",IF(D143="17&lt;50","17&lt;50",IF(D216="YES","&gt;50","")))))))))))))))))))))))))))</f>
        <v/>
      </c>
      <c r="E218" s="575"/>
      <c r="F218" s="592" t="str">
        <f>IF(F111="&lt;20","&lt;20",IF(F111="20&lt;27","20&lt;27",IF(F111="27&lt;37","27&lt;37",IF(F111="37&lt;50","37&lt;50",IF(F111="50&lt;100","50&lt;100",IF(F121="&lt;13","&lt;13",IF(F121="13&lt;17","13&lt;17",IF(F121="17&lt;25","17&lt;25",IF(F121="25&lt;35","25&lt;35",IF(F121="35&lt;100","35&lt;100",IF(F127="&lt;7","&lt;7",IF(F127="7&lt;10","7&lt;10",IF(F127="10&lt;15","10&lt;15",IF(F127="15&lt;22","15&lt;22",IF(F127="22&lt;100","22&lt;100",IF(F133="&lt;11","&lt;11",IF(F133="11&lt;15","11&lt;15",IF(F133="15&lt;22","15&lt;22",IF(F133="22&lt;31","22&lt;31",IF(F133="31&lt;100","31&lt;100",IF(F143="&lt;7","&lt;7",IF(F143="7&lt;9","7&lt;9",IF(F143="9&lt;14","9&lt;14",IF(F143="14&lt;20","14&lt;20",IF(F143="20&lt;50","20&lt;50",IF(F216="YES","&gt;50",""))))))))))))))))))))))))))</f>
        <v/>
      </c>
      <c r="G218" s="557"/>
      <c r="H218" s="592" t="str">
        <f>IF(H111="&lt;26","&lt;26",IF(H111="26&lt;33","26&lt;33",IF(H111="33&lt;46","33&lt;46",IF(H111="46&lt;61","46&lt;61",IF(H111="61&lt;100","61&lt;100",IF(H121="&lt;16","&lt;16",IF(H121="16&lt;22","16&lt;22",IF(H121="22&lt;31","22&lt;31",IF(H121="31&lt;43","31&lt;43",IF(H121="43&lt;100","43&lt;100",IF(H127="&lt;8","&lt;8",IF(H127="8&lt;11","8&lt;11",IF(H127="11&lt;17","11&lt;17",IF(H127="17&lt;25","17&lt;25",IF(H127="25&lt;100","25&lt;100",IF(H133="&lt;12","&lt;12",IF(H133="12&lt;17","12&lt;17",IF(H133="17&lt;24","17&lt;24",IF(H133="24&lt;35","24&lt;35",IF(H133="35&lt;100","35&lt;100",IF(H143="&lt;8","&lt;8",IF(H143="8&lt;10","8&lt;10",IF(H143="10&lt;16","10&lt;16",IF(H143="16&lt;23","16&lt;23",IF(H143="23&lt;50","23&lt;50",IF(H216="YES","&gt;50",""))))))))))))))))))))))))))</f>
        <v/>
      </c>
      <c r="I218" s="555"/>
      <c r="J218" s="592" t="str">
        <f>IF(J111="&lt;33","&lt;33",IF(J111="33&lt;42","33&lt;42",IF(J111="42&lt;56","42&lt;56",IF(J111="56&lt;73","56&lt;73",IF(J111="73&lt;100","73&lt;100",IF(J121="&lt;21","&lt;21",IF(J121="21&lt;28","21&lt;28",IF(J121="28&lt;39","28&lt;39",IF(J121="39&lt;53","39&lt;53",IF(J121="53&lt;100","53&lt;100",IF(J127="&lt;9","&lt;9",IF(J127="9&lt;13","9&lt;13",IF(J127="13&lt;19","13&lt;19",IF(J127="19&lt;28","19&lt;28",IF(J133="28&lt;100","28&lt;100",IF(J133="&lt;14","&lt;14",IF(J133="14&lt;19","14&lt;19",IF(J133="19&lt;28","19&lt;28",IF(J133="28&lt;39","28&lt;39",IF(J133="39&lt;100","39&lt;100",IF(J143="&lt;9","&lt;9",IF(J143="9&lt;12","9&lt;12",IF(J143="12&lt;18","12&lt;18",IF(J143="18&lt;26","18&lt;26",IF(J143="26&lt;50","26&lt;50",IF(J216="YES","&gt;50",""))))))))))))))))))))))))))</f>
        <v/>
      </c>
      <c r="K218" s="555"/>
      <c r="L218" s="593" t="str">
        <f>IF(L111="&lt;42","&lt;42",IF(L111="42&lt;52","42&lt;52",IF(L111="52&lt;68","52&lt;68",IF(L111="68&lt;87","68&lt;87",IF(L111="87&lt;100","87&lt;100",IF(L121="&lt;27","&lt;27",IF(L121="27&lt;35","27&lt;35",IF(L121="35&lt;48","35&lt;48",IF(L121="48&lt;64","48&lt;64",IF(L121="64&lt;100","64&lt;100",IF(L127="&lt;10","&lt;10",IF(L127="10&lt;15","10&lt;15",IF(L127="15&lt;22","15&lt;22",IF(L127="22&lt;31","22&lt;31",IF(L127="31&lt;100","31&lt;100",IF(L133="&lt;15","&lt;15",IF(L133="15&lt;21","15&lt;21",IF(L133="21&lt;31","21&lt;31",IF(L133="31&lt;43","31&lt;43",IF(L133="43&lt;100","43&lt;100",IF(L143="&lt;10","&lt;10",IF(L143="10&lt;14","10&lt;14",IF(L143="14&lt;21","14&lt;21",IF(L143="21&lt;30","21&lt;30",IF(L143="30&lt;50","30&lt;50",IF(L216="YES","&gt;50",""))))))))))))))))))))))))))</f>
        <v/>
      </c>
      <c r="M218" s="498"/>
      <c r="N218" s="433"/>
      <c r="O218" s="546"/>
      <c r="P218" s="460"/>
      <c r="Q218" s="460"/>
      <c r="R218" s="460"/>
      <c r="S218" s="460"/>
      <c r="T218" s="460"/>
      <c r="U218" s="546"/>
    </row>
    <row r="219" spans="1:25" ht="13.5" customHeight="1" x14ac:dyDescent="0.25">
      <c r="A219" s="427"/>
      <c r="B219" s="568" t="s">
        <v>1366</v>
      </c>
      <c r="C219" s="559"/>
      <c r="D219" s="591" t="str">
        <f>IF(P215="BALFZ","BALFZ",IF(P219="BAL40","BAL40",IF(P220="BAL29","BAL29",IF(P222="BAL19","BAL19",IF(P224="BAL12.5","BAL12.5",IF(D216="YES","BAL Low",""))))))</f>
        <v/>
      </c>
      <c r="E219" s="575"/>
      <c r="F219" s="592" t="str">
        <f>IF(Q215="BALFZ","BALFZ",IF(Q219="BAL40","BAL40",IF(Q220="BAL29","BAL29",IF(Q222="BAL19","BAL19",IF(Q224="BAL12.5","BAL12.5",IF(F216="YES","BAL Low",""))))))</f>
        <v/>
      </c>
      <c r="G219" s="557"/>
      <c r="H219" s="592" t="str">
        <f>IF(R215="BALFZ","BALFZ",IF(R219="BAL40","BAL40",IF(R220="BAL29","BAL29",IF(R222="BAL19","BAL19",IF(R224="BAL12.5","BAL12.5",IF(H216="YES","BAL Low",""))))))</f>
        <v/>
      </c>
      <c r="I219" s="555"/>
      <c r="J219" s="592" t="str">
        <f>IF(S215="BALFZ","BALFZ",IF(S219="BAL40","BAL40",IF(S220="BAL29","BAL29",IF(S222="BAL19","BAL19",IF(S224="BAL12.5","BAL12.5",IF(J216="YES","BAL Low",""))))))</f>
        <v/>
      </c>
      <c r="K219" s="555"/>
      <c r="L219" s="593" t="str">
        <f>IF(T215="BALFZ","BALFZ",IF(T219="BAL40","BAL40",IF(T220="BAL29","BAL29",IF(T222="BAL19","BAL19",IF(T224="BAL12.5","BAL12.5",IF(L216="YES","BAL Low",""))))))</f>
        <v/>
      </c>
      <c r="M219" s="498"/>
      <c r="N219" s="433"/>
      <c r="O219" s="546" t="s">
        <v>1364</v>
      </c>
      <c r="P219" s="460" t="str">
        <f t="shared" ref="P219:P224" si="11">IFERROR(VLOOKUP(O219,$D$111:$D$147,1,FALSE),"")</f>
        <v/>
      </c>
      <c r="Q219" s="460" t="str">
        <f t="shared" ref="Q219:Q224" si="12">IFERROR(VLOOKUP(O219,$F$111:$F$147,1,FALSE),"")</f>
        <v/>
      </c>
      <c r="R219" s="460" t="str">
        <f t="shared" ref="R219:R224" si="13">IFERROR(VLOOKUP(O219,$H$111:$H$147,1,FALSE),"")</f>
        <v/>
      </c>
      <c r="S219" s="460" t="str">
        <f t="shared" ref="S219:S224" si="14">IFERROR(VLOOKUP(O219,$J$111:$J$147,1,FALSE),"")</f>
        <v/>
      </c>
      <c r="T219" s="460" t="str">
        <f>IFERROR(VLOOKUP(O219,$L$111:$L$147,1,FALSE),"")</f>
        <v/>
      </c>
      <c r="U219" s="546"/>
      <c r="V219" s="594"/>
      <c r="W219" s="546"/>
      <c r="Y219" s="546"/>
    </row>
    <row r="220" spans="1:25" ht="13.5" customHeight="1" x14ac:dyDescent="0.25">
      <c r="A220" s="427"/>
      <c r="B220" s="568" t="str">
        <f>IF(B218="Scrub","Tall Heath APZ","APZ")</f>
        <v>APZ</v>
      </c>
      <c r="C220" s="559"/>
      <c r="D220" s="591" t="str">
        <f>IF(D113=20,20,IF(D123=10,10,IF(D129=10,10,IF(D135=15,15,IF(D145=10,10,IF(D216="YES",10,""))))))</f>
        <v/>
      </c>
      <c r="E220" s="575"/>
      <c r="F220" s="592" t="str">
        <f>IF(F113=20,20,IF(F123=15,15,IF(F129=10,10,IF(F135=15,15,IF(F145=10,10,IF(F216="YES",10,""))))))</f>
        <v/>
      </c>
      <c r="G220" s="557"/>
      <c r="H220" s="592" t="str">
        <f>IF(H113=30,30,IF(H123=15,15,IF(H129=10,10,IF(H135=20,20,IF(H145=10,10,IF(H216="YES",10,""))))))</f>
        <v/>
      </c>
      <c r="I220" s="555"/>
      <c r="J220" s="592" t="str">
        <f>IF(J113=40,40,IF(J123=20,20,IF(J129=10,10,IF(J135=20,20,IF(J145=10,10,IF(J216="YES",10,""))))))</f>
        <v/>
      </c>
      <c r="K220" s="555"/>
      <c r="L220" s="593" t="str">
        <f>IF(L113=45,45,IF(L123=25,25,IF(L129=15,15,IF(L135=20,20,IF(L145=10,10,IF(L216="YES",10,""))))))</f>
        <v/>
      </c>
      <c r="M220" s="498"/>
      <c r="N220" s="433"/>
      <c r="O220" s="546" t="s">
        <v>1367</v>
      </c>
      <c r="P220" s="460" t="str">
        <f t="shared" si="11"/>
        <v/>
      </c>
      <c r="Q220" s="460" t="str">
        <f t="shared" si="12"/>
        <v/>
      </c>
      <c r="R220" s="460" t="str">
        <f t="shared" si="13"/>
        <v/>
      </c>
      <c r="S220" s="460" t="str">
        <f t="shared" si="14"/>
        <v/>
      </c>
      <c r="T220" s="460" t="str">
        <f>IFERROR(VLOOKUP(O220,$L$111:$L$147,1,FALSE),"")</f>
        <v/>
      </c>
      <c r="U220" s="460"/>
      <c r="V220" s="479"/>
      <c r="W220" s="546"/>
      <c r="Y220" s="546"/>
    </row>
    <row r="221" spans="1:25" ht="13.5" customHeight="1" x14ac:dyDescent="0.25">
      <c r="A221" s="427"/>
      <c r="B221" s="568" t="str">
        <f>IF(B217="Forests","Pine Plantation APZ",IF(B217="Scrub","Short Heath APZ",""))</f>
        <v/>
      </c>
      <c r="C221" s="559"/>
      <c r="D221" s="591" t="str">
        <f>IF(D117=15,15,IF(D139=10,10,""))</f>
        <v/>
      </c>
      <c r="E221" s="575"/>
      <c r="F221" s="592" t="str">
        <f>IF(F117=20,20,IF(F139=10,10,""))</f>
        <v/>
      </c>
      <c r="G221" s="557"/>
      <c r="H221" s="592" t="str">
        <f>IF(H117=25,25,IF(H139=10,10,""))</f>
        <v/>
      </c>
      <c r="I221" s="555"/>
      <c r="J221" s="592" t="str">
        <f>IF(J117=35,35,IF(J139=15,15,""))</f>
        <v/>
      </c>
      <c r="K221" s="555"/>
      <c r="L221" s="593" t="str">
        <f>IF(L117=40,40,IF(L139=15,15,""))</f>
        <v/>
      </c>
      <c r="M221" s="498"/>
      <c r="N221" s="433"/>
      <c r="O221" s="546"/>
      <c r="P221" s="460"/>
      <c r="Q221" s="460"/>
      <c r="R221" s="460"/>
      <c r="S221" s="460"/>
      <c r="T221" s="460"/>
      <c r="U221" s="460"/>
      <c r="V221" s="479"/>
      <c r="W221" s="546"/>
      <c r="Y221" s="546"/>
    </row>
    <row r="222" spans="1:25" ht="13.5" customHeight="1" x14ac:dyDescent="0.25">
      <c r="A222" s="427"/>
      <c r="B222" s="568" t="str">
        <f>IF(B218="Scrub","Tall Heath IPA","IPA")</f>
        <v>IPA</v>
      </c>
      <c r="C222" s="559"/>
      <c r="D222" s="591" t="str">
        <f>IF(D114=10,10,IF(D124=10,10,IF(D130=10,10,IF(D136=15,15,IF(D146=10,10,"")))))</f>
        <v/>
      </c>
      <c r="E222" s="575"/>
      <c r="F222" s="592" t="str">
        <f>IF(F114=15,15,IF(F124=15,15,IF(F130=10,10,IF(F136=15,15,IF(F146=10,10,"")))))</f>
        <v/>
      </c>
      <c r="G222" s="557"/>
      <c r="H222" s="592" t="str">
        <f>IF(H114=15,15,IF(H124=15,15,IF(H130=10,10,IF(H136=20,20,IF(H146=10,10,"")))))</f>
        <v/>
      </c>
      <c r="I222" s="555"/>
      <c r="J222" s="592" t="str">
        <f>IF(J114=20,20,IF(J124=20,20,IF(J130=10,10,IF(J136=20,20,IF(J146=10,10,"")))))</f>
        <v/>
      </c>
      <c r="K222" s="555"/>
      <c r="L222" s="593" t="str">
        <f>IF(L114=25,25,IF(L124=25,25,IF(L130=15,15,IF(L136=20,20,IF(L146=10,10,"")))))</f>
        <v/>
      </c>
      <c r="M222" s="498"/>
      <c r="N222" s="433"/>
      <c r="O222" s="546" t="s">
        <v>1368</v>
      </c>
      <c r="P222" s="460" t="str">
        <f t="shared" si="11"/>
        <v/>
      </c>
      <c r="Q222" s="460" t="str">
        <f t="shared" si="12"/>
        <v/>
      </c>
      <c r="R222" s="460" t="str">
        <f t="shared" si="13"/>
        <v/>
      </c>
      <c r="S222" s="460" t="str">
        <f t="shared" si="14"/>
        <v/>
      </c>
      <c r="T222" s="460" t="str">
        <f>IFERROR(VLOOKUP(O222,$L$111:$L$147,1,FALSE),"")</f>
        <v/>
      </c>
      <c r="U222" s="460"/>
      <c r="V222" s="595"/>
      <c r="Y222" s="546"/>
    </row>
    <row r="223" spans="1:25" ht="13.5" customHeight="1" x14ac:dyDescent="0.25">
      <c r="A223" s="427"/>
      <c r="B223" s="568" t="str">
        <f>IF(B217="Forests","Pine Plantation IPA",IF(B217="Scrub","Short Heath IPA",""))</f>
        <v/>
      </c>
      <c r="C223" s="559"/>
      <c r="D223" s="591" t="str">
        <f>IF(D118=15,15,IF(D140=10,10,""))</f>
        <v/>
      </c>
      <c r="E223" s="575"/>
      <c r="F223" s="592" t="str">
        <f>IF(F118=20,20,IF(F140=10,10,""))</f>
        <v/>
      </c>
      <c r="G223" s="557"/>
      <c r="H223" s="592" t="str">
        <f>IF(H118=25,25,IF(H140=10,10,""))</f>
        <v/>
      </c>
      <c r="I223" s="555"/>
      <c r="J223" s="592" t="str">
        <f>IF(J118=35,35,IF(J140=15,15,""))</f>
        <v/>
      </c>
      <c r="K223" s="555"/>
      <c r="L223" s="593" t="str">
        <f>IF(L118=40,40,IF(L140=15,15,""))</f>
        <v/>
      </c>
      <c r="M223" s="498"/>
      <c r="N223" s="433"/>
      <c r="O223" s="546"/>
      <c r="P223" s="460"/>
      <c r="Q223" s="460"/>
      <c r="R223" s="460"/>
      <c r="S223" s="460"/>
      <c r="T223" s="460"/>
      <c r="U223" s="460"/>
      <c r="V223" s="595"/>
      <c r="Y223" s="546"/>
    </row>
    <row r="224" spans="1:25" ht="13.5" customHeight="1" x14ac:dyDescent="0.25">
      <c r="A224" s="427"/>
      <c r="B224" s="568" t="str">
        <f>IF(B218="Scrub","Tall Heath OPA","OPA")</f>
        <v>OPA</v>
      </c>
      <c r="C224" s="559"/>
      <c r="D224" s="596" t="str">
        <f>IF(D115=10,10,IF(D125=0,0,IF(D135=0,0,IF(D137=0,0,IF(D147=0,0,"")))))</f>
        <v/>
      </c>
      <c r="E224" s="575"/>
      <c r="F224" s="597" t="str">
        <f>IF(F115=5,5,IF(F125=0,0,IF(F131=0,0,IF(F137=0,0,IF(F147=0,0,"")))))</f>
        <v/>
      </c>
      <c r="G224" s="557"/>
      <c r="H224" s="597" t="str">
        <f>IF(H115=15,15,IF(H125=0,0,IF(H131=0,0,IF(H137=0,0,IF(H147=0,0,"")))))</f>
        <v/>
      </c>
      <c r="I224" s="555"/>
      <c r="J224" s="597" t="str">
        <f>IF(J115=20,20,IF(J125=0,0,IF(J131=0,0,IF(J137=0,0,IF(J147=0,0,"")))))</f>
        <v/>
      </c>
      <c r="K224" s="555"/>
      <c r="L224" s="597" t="str">
        <f>IF(L115=20,20,IF(L125=0,0,IF(L131=0,0,IF(L137=0,0,IF(L147=0,0,"")))))</f>
        <v/>
      </c>
      <c r="M224" s="498"/>
      <c r="N224" s="433"/>
      <c r="O224" s="546" t="s">
        <v>1369</v>
      </c>
      <c r="P224" s="460" t="str">
        <f t="shared" si="11"/>
        <v/>
      </c>
      <c r="Q224" s="460" t="str">
        <f t="shared" si="12"/>
        <v/>
      </c>
      <c r="R224" s="460" t="str">
        <f t="shared" si="13"/>
        <v/>
      </c>
      <c r="S224" s="460" t="str">
        <f t="shared" si="14"/>
        <v/>
      </c>
      <c r="T224" s="460" t="str">
        <f>IFERROR(VLOOKUP(O224,$L$111:$L$147,1,FALSE),"")</f>
        <v/>
      </c>
      <c r="U224" s="460"/>
      <c r="V224" s="479"/>
      <c r="Y224" s="546"/>
    </row>
    <row r="225" spans="1:25" ht="13.5" customHeight="1" thickBot="1" x14ac:dyDescent="0.3">
      <c r="A225" s="427"/>
      <c r="B225" s="573" t="str">
        <f>IF(B217="Forests","Pine Plantation OPA",IF(B217="Scrub","Short Heath OPA",""))</f>
        <v/>
      </c>
      <c r="C225" s="583"/>
      <c r="D225" s="598" t="str">
        <f>IF(D119=0,0,IF(D141=0,0,""))</f>
        <v/>
      </c>
      <c r="E225" s="575"/>
      <c r="F225" s="599" t="str">
        <f>IF(F119=0,0,IF(F141=0,0,""))</f>
        <v/>
      </c>
      <c r="G225" s="557"/>
      <c r="H225" s="599" t="str">
        <f>IF(H119=0,0,IF(H141=0,0,""))</f>
        <v/>
      </c>
      <c r="I225" s="555"/>
      <c r="J225" s="599" t="str">
        <f>IF(J119=0,0,IF(J141=0,0,""))</f>
        <v/>
      </c>
      <c r="K225" s="555"/>
      <c r="L225" s="599" t="str">
        <f>IF(L119=0,0,IF(L141=0,0,""))</f>
        <v/>
      </c>
      <c r="M225" s="498"/>
      <c r="N225" s="433"/>
      <c r="O225" s="546"/>
      <c r="P225" s="460"/>
      <c r="Q225" s="460"/>
      <c r="R225" s="460"/>
      <c r="S225" s="460"/>
      <c r="T225" s="460"/>
      <c r="U225" s="460"/>
      <c r="V225" s="479"/>
      <c r="Y225" s="546"/>
    </row>
    <row r="226" spans="1:25" ht="5.25" customHeight="1" thickBot="1" x14ac:dyDescent="0.3">
      <c r="A226" s="427"/>
      <c r="B226" s="578"/>
      <c r="C226" s="559"/>
      <c r="D226" s="579"/>
      <c r="E226" s="580"/>
      <c r="F226" s="579"/>
      <c r="G226" s="581"/>
      <c r="H226" s="579"/>
      <c r="I226" s="555"/>
      <c r="J226" s="579"/>
      <c r="K226" s="582"/>
      <c r="L226" s="579"/>
      <c r="M226" s="498"/>
      <c r="N226" s="433"/>
      <c r="O226" s="546"/>
      <c r="P226" s="460"/>
      <c r="Q226" s="460"/>
      <c r="R226" s="460"/>
      <c r="S226" s="460"/>
      <c r="T226" s="460"/>
      <c r="U226" s="460"/>
      <c r="V226" s="479"/>
      <c r="Y226" s="546"/>
    </row>
    <row r="227" spans="1:25" x14ac:dyDescent="0.25">
      <c r="A227" s="427"/>
      <c r="B227" s="600" t="s">
        <v>1357</v>
      </c>
      <c r="C227" s="601"/>
      <c r="D227" s="584" t="s">
        <v>1324</v>
      </c>
      <c r="E227" s="602"/>
      <c r="F227" s="584" t="s">
        <v>1363</v>
      </c>
      <c r="G227" s="603"/>
      <c r="H227" s="604" t="s">
        <v>1326</v>
      </c>
      <c r="I227" s="605"/>
      <c r="J227" s="604" t="s">
        <v>1327</v>
      </c>
      <c r="K227" s="605"/>
      <c r="L227" s="585" t="s">
        <v>1328</v>
      </c>
      <c r="M227" s="498"/>
      <c r="N227" s="433"/>
      <c r="O227" s="606"/>
      <c r="P227" s="546"/>
      <c r="Q227" s="606"/>
      <c r="R227" s="546"/>
      <c r="S227" s="606"/>
      <c r="T227" s="546"/>
      <c r="U227" s="546"/>
      <c r="V227" s="606"/>
      <c r="Y227" s="546"/>
    </row>
    <row r="228" spans="1:25" ht="15" customHeight="1" x14ac:dyDescent="0.25">
      <c r="A228" s="427"/>
      <c r="B228" s="607" t="str">
        <f>IF(O228="BAL Low","Managed Lands","")</f>
        <v/>
      </c>
      <c r="C228" s="601"/>
      <c r="D228" s="586" t="str">
        <f>IF(D104="&gt;50","YES","")</f>
        <v/>
      </c>
      <c r="E228" s="575"/>
      <c r="F228" s="586" t="str">
        <f>IF(F104="&gt;50","YES","")</f>
        <v/>
      </c>
      <c r="G228" s="557"/>
      <c r="H228" s="561" t="str">
        <f>IF(H104="&gt;50","YES","")</f>
        <v/>
      </c>
      <c r="I228" s="555"/>
      <c r="J228" s="561" t="str">
        <f>IF(J104="&gt;50","YES","")</f>
        <v/>
      </c>
      <c r="K228" s="555"/>
      <c r="L228" s="587" t="str">
        <f>IF(L104="&gt;50","YES","")</f>
        <v/>
      </c>
      <c r="M228" s="498"/>
      <c r="N228" s="433"/>
      <c r="O228" s="546" t="str">
        <f>IF(D228="YES","BAL Low",IF(F228="YES","BAL Low",IF(H228="YES","BAL Low",IF(J228="YES","BAL Low",IF(L228="YES","BAL Low","")))))</f>
        <v/>
      </c>
      <c r="P228" s="546"/>
      <c r="Q228" s="606"/>
      <c r="R228" s="546"/>
      <c r="S228" s="606"/>
      <c r="T228" s="546"/>
      <c r="U228" s="546"/>
      <c r="V228" s="606"/>
      <c r="Y228" s="546"/>
    </row>
    <row r="229" spans="1:25" ht="15" customHeight="1" x14ac:dyDescent="0.25">
      <c r="A229" s="427"/>
      <c r="B229" s="608" t="str">
        <f>IF(O66="Forests","Forests",IF(P66="Forests","Forests",IF(Q66="Forests","Forests",IF(R66="Forests","Forests",IF(S66="Forests","Forests",IF(O76="Woodlands","Woodlands",IF(P76="Woodlands","Woodlands",IF(Q76="Woodlands","Woodlands",IF(R76="Woodlands","Woodlands",IF(S76="Woodlands","Woodlands",IF(O82="Shrubland","Shrubland",IF(P82="Shrubland","Shrubland",IF(Q82="Shrubland","Shrubland",IF(R82="Shrubland","Shrubland",IF(S82="Shrubland","Shrubland",IF(O88="Scrub","Scrub",IF(P88="Scrub","Scrub",IF(Q88="Scrub","Scrub",IF(R88="Scrub","Scrub",IF(S88="Scrub","Scrub",IF(O98="Grassland","Grassland",IF(P98="Grassland","Grassland",IF(Q98="Grassland","Grassland",IF(R98="Grassland","Grassland",IF(S98="Grassland","Grassland","")))))))))))))))))))))))))</f>
        <v/>
      </c>
      <c r="C229" s="601"/>
      <c r="D229" s="609"/>
      <c r="E229" s="575"/>
      <c r="F229" s="609"/>
      <c r="G229" s="557"/>
      <c r="H229" s="610"/>
      <c r="I229" s="555"/>
      <c r="J229" s="610"/>
      <c r="K229" s="555"/>
      <c r="L229" s="611"/>
      <c r="M229" s="498"/>
      <c r="N229" s="433"/>
      <c r="O229" s="606"/>
      <c r="P229" s="546"/>
      <c r="Q229" s="606"/>
      <c r="R229" s="546"/>
      <c r="S229" s="606"/>
      <c r="T229" s="546"/>
      <c r="U229" s="546"/>
      <c r="V229" s="606"/>
      <c r="Y229" s="546"/>
    </row>
    <row r="230" spans="1:25" ht="15" customHeight="1" x14ac:dyDescent="0.25">
      <c r="A230" s="427"/>
      <c r="B230" s="612" t="s">
        <v>1365</v>
      </c>
      <c r="C230" s="601"/>
      <c r="D230" s="591" t="str">
        <f>IF(D66="&lt;16","&lt;16",IF(D66="16&lt;21","16&lt;21",IF(D66="21&lt;31","21&lt;31",IF(D66="31&lt;42","31&lt;42",IF(D66="42&lt;100","42&lt;100",IF(D76="&lt;10","&lt;10",IF(D76="10&lt;14","10&lt;14",IF(D76="14&lt;20","14&lt;20",IF(D76="20&lt;29","20&lt;29",IF(D76="20&lt;29","20&lt;29",IF(D76="29&lt;100","29&lt;100",IF(D82="&lt;7","7",IF(D82="7&lt;9","7&lt;9",IF(D82="9&lt;13","9&lt;13",IF(D82="13&lt;19","13&lt;19",IF(D82="19&lt;100","19&lt;100",IF(D88="&lt;10","&lt;10",IF(D88="10&lt;13","10&lt;13",IF(D88="13&lt;19","13&lt;19",IF(D88="19&lt;27","19&lt;27",IF(D88="27&lt;100","27&lt;100",IF(D98="&lt;6","&lt;6",IF(D98="6&lt;8","6&lt;8",IF(D98="8&lt;12","8&lt;12",IF(D98="13&lt;17","13&lt;17",IF(D98="17&lt;50","17&lt;50",IF(D228="YES","&gt;50","")))))))))))))))))))))))))))</f>
        <v/>
      </c>
      <c r="E230" s="575"/>
      <c r="F230" s="591" t="str">
        <f>IF(F66="&lt;20","&lt;20",IF(F66="20&lt;27","20&lt;27",IF(F66="27&lt;37","27&lt;37",IF(F66="37&lt;50","37&lt;50",IF(F66="50&lt;100","50&lt;100",IF(F76="&lt;13","&lt;13",IF(F76="13&lt;17","13&lt;17",IF(F76="17&lt;25","17&lt;25",IF(F76="25&lt;35","25&lt;35",IF(F76="35&lt;100","35&lt;100",IF(F82="&lt;7","&lt;7",IF(F82="7&lt;10","7&lt;10",IF(F82="10&lt;15","10&lt;15",IF(F82="15&lt;22","15&lt;22",IF(F82="22&lt;100","22&lt;100",IF(F88="&lt;11","&lt;11",IF(F88="11&lt;15","11&lt;15",IF(F88="15&lt;22","15&lt;22",IF(F88="22&lt;31","22&lt;31",IF(F88="31&lt;100","31&lt;100",IF(F98="&lt;7","&lt;7",IF(F98="7&lt;9","7&lt;9",IF(F98="9&lt;14","9&lt;14",IF(F98="14&lt;20","14&lt;20",IF(F98="20&lt;50","20&lt;50",IF(F228="YES","&gt;50",""))))))))))))))))))))))))))</f>
        <v/>
      </c>
      <c r="G230" s="557"/>
      <c r="H230" s="592" t="str">
        <f>IF(H66="&lt;26","&lt;26",IF(H66="26&lt;33","26&lt;33",IF(H66="33&lt;46","33&lt;46",IF(H66="46&lt;61","46&lt;61",IF(H66="61&lt;100","61&lt;100",IF(H76="&lt;16","&lt;16",IF(H76="16&lt;22","16&lt;22",IF(H76="22&lt;31","22&lt;31",IF(H76="31&lt;43","31&lt;43",IF(H76="43&lt;100","43&lt;100",IF(H82="&lt;8","&lt;8",IF(H82="8&lt;11","8&lt;11",IF(H82="11&lt;17","11&lt;17",IF(H82="17&lt;25","17&lt;25",IF(H82="25&lt;100","25&lt;100",IF(H88="&lt;12","&lt;12",IF(H88="12&lt;17","12&lt;17",IF(H88="17&lt;24","17&lt;24",IF(H88="24&lt;35","24&lt;35",IF(H88="35&lt;100","35&lt;100",IF(H98="&lt;8","&lt;8",IF(H98="8&lt;10","8&lt;10",IF(H98="10&lt;16","10&lt;16",IF(H98="16&lt;23","16&lt;23",IF(H98="23&lt;50","23&lt;50",IF(H228="YES","&gt;50",""))))))))))))))))))))))))))</f>
        <v/>
      </c>
      <c r="I230" s="555"/>
      <c r="J230" s="592" t="str">
        <f>IF(J66="&lt;33","&lt;33",IF(J66="33&lt;42","33&lt;42",IF(J66="42&lt;56","42&lt;56",IF(J66="56&lt;73","56&lt;73",IF(J66="73&lt;100","73&lt;100",IF(J76="&lt;21","&lt;21",IF(J76="21&lt;28","21&lt;28",IF(J76="28&lt;39","28&lt;39",IF(J76="39&lt;53","39&lt;53",IF(J76="53&lt;100","53&lt;100",IF(J82="&lt;9","&lt;9",IF(J82="9&lt;13","9&lt;13",IF(J82="13&lt;19","13&lt;19",IF(J82="19&lt;28","19&lt;28",IF(J82="28&lt;100","28&lt;100",IF(J88="&lt;14","&lt;14",IF(J88="14&lt;19","14&lt;19",IF(J88="19&lt;28","19&lt;28",IF(J88="28&lt;39","28&lt;39",IF(J88="39&lt;100","39&lt;100",IF(J98="&lt;9","&lt;9",IF(J98="9&lt;12","9&lt;12",IF(J98="12&lt;18","12&lt;18",IF(J98="18&lt;26","18&lt;26",IF(J98="26&lt;50","26&lt;50",IF(J228="YES","&gt;50",""))))))))))))))))))))))))))</f>
        <v/>
      </c>
      <c r="K230" s="555"/>
      <c r="L230" s="593" t="str">
        <f>IF(L66="&lt;42","&lt;42",IF(L66="42&lt;52","42&lt;52",IF(L66="52&lt;68","52&lt;68",IF(L66="68&lt;87","68&lt;87",IF(L66="87&lt;100","87&lt;100",IF(L76="&lt;27","&lt;27",IF(L76="27&lt;35","27&lt;35",IF(L76="35&lt;48","35&lt;48",IF(L76="48&lt;64","48&lt;64",IF(L76="64&lt;100","64&lt;100",IF(L82="&lt;10","&lt;10",IF(L82="10&lt;15","10&lt;15",IF(L82="15&lt;22","15&lt;22",IF(L82="22&lt;31","22&lt;31",IF(L82="31&lt;100","31&lt;100",IF(L88="&lt;15","&lt;15",IF(L88="15&lt;21","15&lt;21",IF(L88="21&lt;31","21&lt;31",IF(L88="31&lt;43","31&lt;43",IF(L88="43&lt;100","43&lt;100",IF(L98="&lt;10","&lt;10",IF(L98="10&lt;14","10&lt;14",IF(L98="14&lt;21","14&lt;21",IF(L98="21&lt;30","21&lt;30",IF(L98="30&lt;50","30&lt;50",IF(L228="YES","&gt;50",""))))))))))))))))))))))))))</f>
        <v/>
      </c>
      <c r="M230" s="498"/>
      <c r="N230" s="433"/>
      <c r="O230" s="606"/>
      <c r="P230" s="546"/>
      <c r="Q230" s="606"/>
      <c r="R230" s="546"/>
      <c r="S230" s="606"/>
      <c r="T230" s="546"/>
      <c r="U230" s="546"/>
      <c r="V230" s="606"/>
      <c r="Y230" s="546"/>
    </row>
    <row r="231" spans="1:25" ht="15" customHeight="1" x14ac:dyDescent="0.25">
      <c r="A231" s="427"/>
      <c r="B231" s="612" t="s">
        <v>1366</v>
      </c>
      <c r="C231" s="601"/>
      <c r="D231" s="591" t="str">
        <f>IF(P231="BALFZ","BALFZ",IF(P232="BAL40","BAL40",IF(P234="BAL29","BAL29",IF(P236="BAL19","BAL19",IF(P239="BAL12.5","BAL12.5",IF(D228="YES","BAL Low",""))))))</f>
        <v/>
      </c>
      <c r="E231" s="575"/>
      <c r="F231" s="591" t="str">
        <f>IF(Q231="BALFZ","BALFZ",IF(Q232="BAL40","BAL40",IF(Q234="BAL29","BAL29",IF(Q236="BAL19","BAL19",IF(Q239="BAL12.5","BAL12.5",IF(F228="YES","BAL Low",""))))))</f>
        <v/>
      </c>
      <c r="G231" s="557"/>
      <c r="H231" s="592" t="str">
        <f>IF(R231="BALFZ","BALFZ",IF(R232="BAL40","BAL40",IF(R234="BAL29","BAL29",IF(R236="BAL19","BAL19",IF(R239="BAL12.5","BAL12.5",IF(H228="YES","BAL Low",""))))))</f>
        <v/>
      </c>
      <c r="I231" s="555"/>
      <c r="J231" s="592" t="str">
        <f>IF(S231="BALFZ","BALFZ",IF(S232="BAL40","BAL40",IF(S234="BAL29","BAL29",IF(S236="BAL19","BAL19",IF(S239="BAL12.5","BAL12.5",IF(J228="YES","BAL Low",""))))))</f>
        <v/>
      </c>
      <c r="K231" s="555"/>
      <c r="L231" s="593" t="str">
        <f>IF(T231="BALFZ","BALFZ",IF(T232="BAL40","BAL40",IF(T234="BAL29","BAL29",IF(T236="BAL19","BAL19",IF(T239="BAL12.5","BAL12.5",IF(L228="YES","BAL Low",""))))))</f>
        <v/>
      </c>
      <c r="M231" s="498"/>
      <c r="N231" s="433"/>
      <c r="O231" s="546" t="s">
        <v>1362</v>
      </c>
      <c r="P231" s="460" t="str">
        <f>IFERROR(VLOOKUP(O231,$D$66:$D$102,1,FALSE),"")</f>
        <v/>
      </c>
      <c r="Q231" s="460" t="str">
        <f>IFERROR(VLOOKUP(O231,$F$66:$F$102,1,FALSE),"")</f>
        <v/>
      </c>
      <c r="R231" s="460" t="str">
        <f>IFERROR(VLOOKUP(O231,$H$66:$H$102,1,FALSE),"")</f>
        <v/>
      </c>
      <c r="S231" s="460" t="str">
        <f>IFERROR(VLOOKUP(O231,$J$66:$J$102,1,FALSE),"")</f>
        <v/>
      </c>
      <c r="T231" s="460" t="str">
        <f>IFERROR(VLOOKUP(O231,$L$66:$L$102,1,FALSE),"")</f>
        <v/>
      </c>
      <c r="U231" s="460"/>
      <c r="V231" s="546"/>
      <c r="Y231" s="546"/>
    </row>
    <row r="232" spans="1:25" ht="15" customHeight="1" x14ac:dyDescent="0.25">
      <c r="A232" s="427"/>
      <c r="B232" s="612" t="str">
        <f>IF(B230="Scrub","Tall Heath APZ","APZ")</f>
        <v>APZ</v>
      </c>
      <c r="C232" s="601"/>
      <c r="D232" s="591" t="str">
        <f>IF(D68=20,20,IF(D78=10,10,IF(D84=10,10,IF(D90=15,15,IF(D100=10,10,IF(D228="YES",10,""))))))</f>
        <v/>
      </c>
      <c r="E232" s="575"/>
      <c r="F232" s="591" t="str">
        <f>IF(F68=20,20,IF(F78=15,15,IF(F84=10,10,IF(F90=15,15,IF(F100=10,10,IF(F228="YES",10,""))))))</f>
        <v/>
      </c>
      <c r="G232" s="557"/>
      <c r="H232" s="592" t="str">
        <f>IF(H68=30,30,IF(H78=15,15,IF(H84=10,10,IF(H90=20,20,IF(H100=10,10,IF(H228="YES",10,""))))))</f>
        <v/>
      </c>
      <c r="I232" s="555"/>
      <c r="J232" s="592" t="str">
        <f>IF(J68=40,40,IF(J78=20,20,IF(J84=10,10,IF(J90=20,20,IF(J100=10,10,IF(J228="YES",10,""))))))</f>
        <v/>
      </c>
      <c r="K232" s="555"/>
      <c r="L232" s="593" t="str">
        <f>IF(L68=45,45,IF(L78=25,25,IF(L84=15,15,IF(L90=20,20,IF(L100=10,10,IF(L228="YES",10,""))))))</f>
        <v/>
      </c>
      <c r="M232" s="498"/>
      <c r="N232" s="433"/>
      <c r="O232" s="546" t="s">
        <v>1364</v>
      </c>
      <c r="P232" s="460" t="str">
        <f>IFERROR(VLOOKUP(O232,$D$66:$D$102,1,FALSE),"")</f>
        <v/>
      </c>
      <c r="Q232" s="460" t="str">
        <f>IFERROR(VLOOKUP(O232,$F$66:$F$102,1,FALSE),"")</f>
        <v/>
      </c>
      <c r="R232" s="460" t="str">
        <f t="shared" ref="R232:R239" si="15">IFERROR(VLOOKUP(O232,$H$66:$H$102,1,FALSE),"")</f>
        <v/>
      </c>
      <c r="S232" s="460" t="str">
        <f t="shared" ref="S232:S239" si="16">IFERROR(VLOOKUP(O232,$J$66:$J$102,1,FALSE),"")</f>
        <v/>
      </c>
      <c r="T232" s="460" t="str">
        <f t="shared" ref="T232:T239" si="17">IFERROR(VLOOKUP(O232,$L$66:$L$102,1,FALSE),"")</f>
        <v/>
      </c>
      <c r="U232" s="460"/>
      <c r="V232" s="546"/>
      <c r="Y232" s="546"/>
    </row>
    <row r="233" spans="1:25" ht="15" customHeight="1" x14ac:dyDescent="0.25">
      <c r="A233" s="427"/>
      <c r="B233" s="612" t="str">
        <f>IF(B229="Forests","Pine Plantation APZ",IF(B229="Scrub","Short Heath APZ",""))</f>
        <v/>
      </c>
      <c r="C233" s="601"/>
      <c r="D233" s="591" t="str">
        <f>IF(D72=15,15,IF(D94=10,10,""))</f>
        <v/>
      </c>
      <c r="E233" s="575"/>
      <c r="F233" s="591" t="str">
        <f>IF(F72=20,20,IF(F94=10,10,""))</f>
        <v/>
      </c>
      <c r="G233" s="557"/>
      <c r="H233" s="592" t="str">
        <f>IF(H72=25,25,IF(H94=10,10,""))</f>
        <v/>
      </c>
      <c r="I233" s="555"/>
      <c r="J233" s="592" t="str">
        <f>IF(J72=35,35,IF(J94=15,15,""))</f>
        <v/>
      </c>
      <c r="K233" s="555"/>
      <c r="L233" s="593" t="str">
        <f>IF(L72=40,40,IF(L94=15,15,""))</f>
        <v/>
      </c>
      <c r="M233" s="498"/>
      <c r="N233" s="433"/>
      <c r="O233" s="546"/>
      <c r="P233" s="460"/>
      <c r="Q233" s="460"/>
      <c r="R233" s="460"/>
      <c r="S233" s="460"/>
      <c r="T233" s="460"/>
      <c r="U233" s="460"/>
      <c r="V233" s="546"/>
      <c r="Y233" s="546"/>
    </row>
    <row r="234" spans="1:25" ht="15" customHeight="1" x14ac:dyDescent="0.25">
      <c r="A234" s="427"/>
      <c r="B234" s="612" t="str">
        <f>IF(B230="Scrub","Tall Heath IPA","IPA")</f>
        <v>IPA</v>
      </c>
      <c r="C234" s="601"/>
      <c r="D234" s="591" t="str">
        <f>IF(D69=10,10,IF(D79=10,10,IF(D85=10,10,IF(D91=15,15,IF(D101=10,10,"")))))</f>
        <v/>
      </c>
      <c r="E234" s="575"/>
      <c r="F234" s="591" t="str">
        <f>IF(F69=15,15,IF(F79=15,15,IF(F85=10,10,IF(F91=15,15,IF(F101=10,10,"")))))</f>
        <v/>
      </c>
      <c r="G234" s="557"/>
      <c r="H234" s="592" t="str">
        <f>IF(H69=15,15,IF(H79=15,15,IF(H85=10,10,IF(H91=20,20,IF(H101=10,10,"")))))</f>
        <v/>
      </c>
      <c r="I234" s="555"/>
      <c r="J234" s="592" t="str">
        <f>IF(J69=20,20,IF(J79=20,20,IF(J85=10,10,IF(J91=20,20,IF(J101=10,10,"")))))</f>
        <v/>
      </c>
      <c r="K234" s="555"/>
      <c r="L234" s="593" t="str">
        <f>IF(L69=25,25,IF(L79=25,25,IF(L85=15,15,IF(L91=20,20,IF(L101=10,10,"")))))</f>
        <v/>
      </c>
      <c r="M234" s="498"/>
      <c r="N234" s="433"/>
      <c r="O234" s="546" t="s">
        <v>1367</v>
      </c>
      <c r="P234" s="460" t="str">
        <f>IFERROR(VLOOKUP(O234,$D$66:$D$102,1,FALSE),"")</f>
        <v/>
      </c>
      <c r="Q234" s="460" t="str">
        <f>IFERROR(VLOOKUP(O234,$F$66:$F$102,1,FALSE),"")</f>
        <v/>
      </c>
      <c r="R234" s="460" t="str">
        <f t="shared" si="15"/>
        <v/>
      </c>
      <c r="S234" s="460" t="str">
        <f t="shared" si="16"/>
        <v/>
      </c>
      <c r="T234" s="460" t="str">
        <f t="shared" si="17"/>
        <v/>
      </c>
      <c r="U234" s="460"/>
      <c r="V234" s="613"/>
      <c r="Y234" s="546"/>
    </row>
    <row r="235" spans="1:25" ht="15" customHeight="1" x14ac:dyDescent="0.25">
      <c r="A235" s="427"/>
      <c r="B235" s="612" t="str">
        <f>IF(B229="Forests","Pine Plantation IPA",IF(B229="Scrub","Short Heath IPA",""))</f>
        <v/>
      </c>
      <c r="C235" s="601"/>
      <c r="D235" s="591" t="str">
        <f>IF(D73=15,15,IF(D95=10,10,""))</f>
        <v/>
      </c>
      <c r="E235" s="575"/>
      <c r="F235" s="591" t="str">
        <f>IF(F73=20,20,IF(F95=10,10,""))</f>
        <v/>
      </c>
      <c r="G235" s="557"/>
      <c r="H235" s="592" t="str">
        <f>IF(H73=25,25,IF(H95=10,10,""))</f>
        <v/>
      </c>
      <c r="I235" s="555"/>
      <c r="J235" s="592" t="str">
        <f>IF(J73=35,35,IF(J95=15,15,""))</f>
        <v/>
      </c>
      <c r="K235" s="555"/>
      <c r="L235" s="593" t="str">
        <f>IF(L73=40,40,IF(L95=15,15,""))</f>
        <v/>
      </c>
      <c r="M235" s="498"/>
      <c r="N235" s="433"/>
      <c r="O235" s="546"/>
      <c r="P235" s="460"/>
      <c r="Q235" s="460"/>
      <c r="R235" s="460"/>
      <c r="S235" s="460"/>
      <c r="T235" s="460"/>
      <c r="U235" s="460"/>
      <c r="V235" s="613"/>
      <c r="Y235" s="546"/>
    </row>
    <row r="236" spans="1:25" ht="15" customHeight="1" x14ac:dyDescent="0.25">
      <c r="A236" s="427"/>
      <c r="B236" s="612" t="str">
        <f>IF(B230="Scrub","Tall Heath OPA","OPA")</f>
        <v>OPA</v>
      </c>
      <c r="C236" s="601"/>
      <c r="D236" s="596" t="str">
        <f>IF(D70=10,10,IF(D80=0,0,IF(D86=0,0,IF(D92=0,0,IF(D102=0,0,"")))))</f>
        <v/>
      </c>
      <c r="E236" s="575"/>
      <c r="F236" s="596" t="str">
        <f>IF(F70=5,5,IF(F80=0,0,IF(F86=0,0,IF(F92=0,0,IF(F102=0,0,"")))))</f>
        <v/>
      </c>
      <c r="G236" s="557"/>
      <c r="H236" s="597" t="str">
        <f>IF(H70=15,15,IF(H80=0,0,IF(H86=0,0,IF(H92=0,0,IF(H102=0,0,"")))))</f>
        <v/>
      </c>
      <c r="I236" s="555"/>
      <c r="J236" s="597" t="str">
        <f>IF(J70=20,20,IF(J80=0,0,IF(J86=0,0,IF(J92=0,0,IF(J102=0,0,"")))))</f>
        <v/>
      </c>
      <c r="K236" s="555"/>
      <c r="L236" s="614" t="str">
        <f>IF(L70=20,20,IF(L80=0,0,IF(L86=0,0,IF(L92=0,0,IF(L102=0,0,"")))))</f>
        <v/>
      </c>
      <c r="M236" s="498"/>
      <c r="N236" s="433"/>
      <c r="O236" s="546" t="s">
        <v>1368</v>
      </c>
      <c r="P236" s="460" t="str">
        <f>IFERROR(VLOOKUP(O236,$D$66:$D$102,1,FALSE),"")</f>
        <v/>
      </c>
      <c r="Q236" s="460" t="str">
        <f>IFERROR(VLOOKUP(O236,$F$66:$F$102,1,FALSE),"")</f>
        <v/>
      </c>
      <c r="R236" s="460" t="str">
        <f t="shared" si="15"/>
        <v/>
      </c>
      <c r="S236" s="460" t="str">
        <f t="shared" si="16"/>
        <v/>
      </c>
      <c r="T236" s="460" t="str">
        <f t="shared" si="17"/>
        <v/>
      </c>
      <c r="U236" s="460"/>
      <c r="V236" s="615"/>
      <c r="Y236" s="546"/>
    </row>
    <row r="237" spans="1:25" ht="15" customHeight="1" thickBot="1" x14ac:dyDescent="0.3">
      <c r="A237" s="427"/>
      <c r="B237" s="616" t="str">
        <f>IF(B229="Forests","Pine Plantation OPA",IF(B229="Scrub","Short Heath OPA",""))</f>
        <v/>
      </c>
      <c r="C237" s="601"/>
      <c r="D237" s="617" t="str">
        <f>IF(D74=0,0,IF(D96=0,0,""))</f>
        <v/>
      </c>
      <c r="E237" s="618"/>
      <c r="F237" s="617" t="str">
        <f>IF(F74=0,0,IF(F96=0,0,""))</f>
        <v/>
      </c>
      <c r="G237" s="619"/>
      <c r="H237" s="620" t="str">
        <f>IF(H74=0,0,IF(H96=0,0,""))</f>
        <v/>
      </c>
      <c r="I237" s="605"/>
      <c r="J237" s="620" t="str">
        <f>IF(J74=0,0,IF(J96=0,0,""))</f>
        <v/>
      </c>
      <c r="K237" s="621"/>
      <c r="L237" s="622" t="str">
        <f>IF(L74=0,0,IF(L96=0,0,""))</f>
        <v/>
      </c>
      <c r="M237" s="498"/>
      <c r="N237" s="433"/>
      <c r="O237" s="546"/>
      <c r="P237" s="460"/>
      <c r="Q237" s="460"/>
      <c r="R237" s="460"/>
      <c r="S237" s="460"/>
      <c r="T237" s="460"/>
      <c r="U237" s="460"/>
      <c r="V237" s="615"/>
      <c r="Y237" s="546"/>
    </row>
    <row r="238" spans="1:25" ht="5.25" customHeight="1" thickBot="1" x14ac:dyDescent="0.3">
      <c r="A238" s="427"/>
      <c r="B238" s="578"/>
      <c r="C238" s="559"/>
      <c r="D238" s="579"/>
      <c r="E238" s="580"/>
      <c r="F238" s="579"/>
      <c r="G238" s="581"/>
      <c r="H238" s="579"/>
      <c r="I238" s="555"/>
      <c r="J238" s="579"/>
      <c r="K238" s="582"/>
      <c r="L238" s="579"/>
      <c r="M238" s="498"/>
      <c r="N238" s="433"/>
      <c r="O238" s="546"/>
      <c r="P238" s="460"/>
      <c r="Q238" s="460"/>
      <c r="R238" s="460"/>
      <c r="S238" s="460"/>
      <c r="T238" s="460"/>
      <c r="U238" s="460"/>
      <c r="V238" s="615"/>
      <c r="Y238" s="546"/>
    </row>
    <row r="239" spans="1:25" x14ac:dyDescent="0.25">
      <c r="A239" s="427"/>
      <c r="B239" s="552" t="s">
        <v>1320</v>
      </c>
      <c r="C239" s="559"/>
      <c r="D239" s="556" t="s">
        <v>1324</v>
      </c>
      <c r="E239" s="575"/>
      <c r="F239" s="554" t="s">
        <v>1363</v>
      </c>
      <c r="G239" s="557"/>
      <c r="H239" s="554" t="s">
        <v>1326</v>
      </c>
      <c r="I239" s="555"/>
      <c r="J239" s="554" t="s">
        <v>1327</v>
      </c>
      <c r="K239" s="555"/>
      <c r="L239" s="623" t="s">
        <v>1328</v>
      </c>
      <c r="M239" s="498"/>
      <c r="N239" s="433"/>
      <c r="O239" s="546" t="s">
        <v>1369</v>
      </c>
      <c r="P239" s="460" t="str">
        <f>IFERROR(VLOOKUP(O239,$D$66:$D$102,1,FALSE),"")</f>
        <v/>
      </c>
      <c r="Q239" s="460" t="str">
        <f>IFERROR(VLOOKUP(O239,$F$66:$F$102,1,FALSE),"")</f>
        <v/>
      </c>
      <c r="R239" s="460" t="str">
        <f t="shared" si="15"/>
        <v/>
      </c>
      <c r="S239" s="460" t="str">
        <f t="shared" si="16"/>
        <v/>
      </c>
      <c r="T239" s="460" t="str">
        <f t="shared" si="17"/>
        <v/>
      </c>
      <c r="U239" s="460"/>
      <c r="V239" s="624"/>
      <c r="Y239" s="546"/>
    </row>
    <row r="240" spans="1:25" ht="15" customHeight="1" x14ac:dyDescent="0.25">
      <c r="A240" s="427"/>
      <c r="B240" s="558" t="str">
        <f>IF(O240="BAL Low","Managed Lands","")</f>
        <v/>
      </c>
      <c r="C240" s="559"/>
      <c r="D240" s="561" t="str">
        <f>IF(D59="&gt;50","YES","")</f>
        <v/>
      </c>
      <c r="E240" s="575"/>
      <c r="F240" s="560" t="str">
        <f>IF(F59="&gt;50","YES","")</f>
        <v/>
      </c>
      <c r="G240" s="557"/>
      <c r="H240" s="560" t="str">
        <f>IF(H59="&gt;50","YES","")</f>
        <v/>
      </c>
      <c r="I240" s="555"/>
      <c r="J240" s="560" t="str">
        <f>IF(J59="&gt;50","YES","")</f>
        <v/>
      </c>
      <c r="K240" s="555"/>
      <c r="L240" s="625" t="str">
        <f>IF(L59="&gt;50","YES","")</f>
        <v/>
      </c>
      <c r="M240" s="498"/>
      <c r="N240" s="433"/>
      <c r="O240" s="546" t="str">
        <f>IF(D240="YES","BAL Low",IF(F240="YES","BAL Low",IF(H240="YES","BAL Low",IF(J240="YES","BAL Low",IF(L240="YES","BAL Low","")))))</f>
        <v/>
      </c>
      <c r="P240" s="460"/>
      <c r="Q240" s="460"/>
      <c r="R240" s="460"/>
      <c r="S240" s="460"/>
      <c r="T240" s="460"/>
      <c r="U240" s="460"/>
      <c r="V240" s="624"/>
      <c r="Y240" s="546"/>
    </row>
    <row r="241" spans="1:25" ht="15" customHeight="1" x14ac:dyDescent="0.25">
      <c r="A241" s="427"/>
      <c r="B241" s="626" t="str">
        <f>IF(O21="Forests","Forests",IF(P21="Forests","Forests",IF(Q21="Forests","Forests",IF(R21="Forests","Forests",IF(S21="Forests","Forests",IF(O31="Woodlands","Woodlands",IF(P31="Woodlands","Woodlands",IF(Q31="Woodlands","Woodlands",IF(R31="Woodlands","Woodlands",IF(S31="Woodlands","Woodlands",IF(O37="Shrubland","Shrubland",IF(P37="Shrubland","Shrubland",IF(Q37="Shrubland","Shrubland",IF(R37="Shrubland","Shrubland",IF(S37="Shrubland","Shrubland",IF(O43="Scrub","Scrub",IF(P43="Scrub","Scrub",IF(Q43="Scrub","Scrub",IF(R43="Scrub","Scrub",IF(S43="Scrub","Scrub",IF(O53="Grassland","Grassland",IF(P53="Grassland","Grassland",IF(Q53="Grassland","Grassland",IF(R53="Grassland","Grassland",IF(S53="Grassland","Grassland","")))))))))))))))))))))))))</f>
        <v/>
      </c>
      <c r="C241" s="559"/>
      <c r="D241" s="610"/>
      <c r="E241" s="575"/>
      <c r="F241" s="627"/>
      <c r="G241" s="557"/>
      <c r="H241" s="627"/>
      <c r="I241" s="555"/>
      <c r="J241" s="627"/>
      <c r="K241" s="555"/>
      <c r="L241" s="628"/>
      <c r="M241" s="498"/>
      <c r="N241" s="433"/>
      <c r="O241" s="546"/>
      <c r="P241" s="460"/>
      <c r="Q241" s="460"/>
      <c r="R241" s="460"/>
      <c r="S241" s="460"/>
      <c r="T241" s="460"/>
      <c r="U241" s="460"/>
      <c r="V241" s="624"/>
      <c r="Y241" s="546"/>
    </row>
    <row r="242" spans="1:25" ht="15" customHeight="1" x14ac:dyDescent="0.25">
      <c r="A242" s="427"/>
      <c r="B242" s="568" t="s">
        <v>1365</v>
      </c>
      <c r="C242" s="559"/>
      <c r="D242" s="592" t="str">
        <f>IF(D21="&lt;16","&lt;16",IF(D21="16&lt;21","16&lt;21",IF(D21="21&lt;31","21&lt;31",IF(D21="31&lt;42","31&lt;42",IF(D21="42&lt;100","42&lt;100",IF(D31="&lt;10","&lt;10",IF(D31="10&lt;14","10&lt;14",IF(D31="14&lt;20","14&lt;20",IF(D31="20&lt;29","20&lt;29",IF(D31="20&lt;29","20&lt;29",IF(D31="29&lt;100","29&lt;100",IF(D37="&lt;7","7",IF(D37="7&lt;9","7&lt;9",IF(D37="9&lt;13","9&lt;13",IF(D37="13&lt;19","13&lt;19",IF(D37="19&lt;100","19&lt;100",IF(D43="&lt;10","&lt;10",IF(D43="10&lt;13","10&lt;13",IF(D43="13&lt;19","13&lt;19",IF(D43="19&lt;27","19&lt;27",IF(D43="27&lt;100","27&lt;100",IF(D53="&lt;6","&lt;6",IF(D53="6&lt;8","6&lt;8",IF(D53="8&lt;12","8&lt;12",IF(D53="13&lt;17","13&lt;17",IF(D53="17&lt;50","17&lt;50",IF(D240="YES","&gt;50","")))))))))))))))))))))))))))</f>
        <v/>
      </c>
      <c r="E242" s="575"/>
      <c r="F242" s="629" t="str">
        <f>IF(F21="&lt;20","&lt;20",IF(F21="20&lt;27","20&lt;27",IF(F21="27&lt;37","27&lt;37",IF(F21="37&lt;50","37&lt;50",IF(F21="50&lt;100","50&lt;100",IF(F31="&lt;13","&lt;13",IF(F31="13&lt;17","13&lt;17",IF(F31="17&lt;25","17&lt;25",IF(F31="25&lt;35","25&lt;35",IF(F31="35&lt;100","35&lt;100",IF(F37="&lt;7","&lt;7",IF(F37="7&lt;10","7&lt;10",IF(F37="10&lt;15","10&lt;15",IF(F37="15&lt;22","15&lt;22",IF(F37="22&lt;100","22&lt;100",IF(F43="&lt;11","&lt;11",IF(F43="11&lt;15","11&lt;15",IF(F43="15&lt;22","15&lt;22",IF(F43="22&lt;31","22&lt;31",IF(F43="31&lt;100","31&lt;100",IF(F53="&lt;7","&lt;7",IF(F53="7&lt;9","7&lt;9",IF(F53="9&lt;14","9&lt;14",IF(F53="14&lt;20","14&lt;20",IF(F53="20&lt;50","20&lt;50",IF(F240="YES","&gt;50",""))))))))))))))))))))))))))</f>
        <v/>
      </c>
      <c r="G242" s="557"/>
      <c r="H242" s="629" t="str">
        <f>IF(H21="&lt;26","&lt;26",IF(H21="26&lt;33","26&lt;33",IF(H21="33&lt;46","33&lt;46",IF(H21="46&lt;61","46&lt;61",IF(H21="61&lt;100","61&lt;100",IF(H31="&lt;16","&lt;16",IF(H31="16&lt;22","16&lt;22",IF(H31="22&lt;31","22&lt;31",IF(H31="31&lt;43","31&lt;43",IF(H31="43&lt;100","43&lt;100",IF(H37="&lt;8","&lt;8",IF(H37="8&lt;11","8&lt;11",IF(H37="11&lt;17","11&lt;17",IF(H37="17&lt;25","17&lt;25",IF(H37="25&lt;100","25&lt;100",IF(H43="&lt;12","&lt;12",IF(H43="12&lt;17","12&lt;17",IF(H43="17&lt;24","17&lt;24",IF(H43="24&lt;35","24&lt;35",IF(H43="35&lt;100","35&lt;100",IF(H53="&lt;8","&lt;8",IF(H53="8&lt;10","8&lt;10",IF(H53="10&lt;16","10&lt;16",IF(H53="16&lt;23","16&lt;23",IF(H53="23&lt;50","23&lt;50",IF(H240="YES","&gt;50",""))))))))))))))))))))))))))</f>
        <v/>
      </c>
      <c r="I242" s="555"/>
      <c r="J242" s="629" t="str">
        <f>IF(J21="&lt;33","&lt;33",IF(J21="33&lt;42","33&lt;42",IF(J21="42&lt;56","42&lt;56",IF(J21="56&lt;73","56&lt;73",IF(J21="73&lt;100","73&lt;100",IF(J31="&lt;21","&lt;21",IF(J31="21&lt;28","21&lt;28",IF(J31="28&lt;39","28&lt;39",IF(J31="39&lt;53","39&lt;53",IF(J31="53&lt;100","53&lt;100",IF(J37="&lt;9","&lt;9",IF(J37="9&lt;13","9&lt;13",IF(J37="13&lt;19","13&lt;19",IF(J37="19&lt;28","19&lt;28",IF(J37="28&lt;100","28&lt;100",IF(J43="&lt;14","&lt;14",IF(J43="14&lt;19","14&lt;19",IF(J43="19&lt;28","19&lt;28",IF(J43="28&lt;39","28&lt;39",IF(J43="39&lt;100","39&lt;100",IF(J53="&lt;9","&lt;9",IF(J53="9&lt;12","9&lt;12",IF(J53="12&lt;18","12&lt;18",IF(J53="18&lt;26","18&lt;26",IF(J53="26&lt;50","26&lt;50",IF(J240="YES","&gt;50",""))))))))))))))))))))))))))</f>
        <v/>
      </c>
      <c r="K242" s="555"/>
      <c r="L242" s="630" t="str">
        <f>IF(L21="&lt;42","&lt;42",IF(L21="42&lt;52","42&lt;52",IF(L21="52&lt;68","52&lt;68",IF(L21="68&lt;87","68&lt;87",IF(L21="87&lt;100","87&lt;100",IF(L31="&lt;27","&lt;27",IF(L31="27&lt;35","27&lt;35",IF(L31="35&lt;48","35&lt;48",IF(L31="48&lt;64","48&lt;64",IF(L31="64&lt;100","64&lt;100",IF(L37="&lt;10","&lt;10",IF(L37="10&lt;15","10&lt;15",IF(L37="15&lt;22","15&lt;22",IF(L37="22&lt;31","22&lt;31",IF(L37="31&lt;100","31&lt;100",IF(L43="&lt;15","&lt;15",IF(L43="15&lt;21","15&lt;21",IF(L43="21&lt;31","21&lt;31",IF(L43="31&lt;43","31&lt;43",IF(L43="43&lt;100","43&lt;100",IF(L53="&lt;10","&lt;10",IF(L53="10&lt;14","10&lt;14",IF(L53="14&lt;21","14&lt;21",IF(L53="21&lt;30","21&lt;30",IF(L53="30&lt;50","30&lt;50",IF(L240="YES","&gt;50",""))))))))))))))))))))))))))</f>
        <v/>
      </c>
      <c r="M242" s="498"/>
      <c r="N242" s="433"/>
      <c r="O242" s="546"/>
      <c r="P242" s="460"/>
      <c r="Q242" s="460"/>
      <c r="R242" s="460"/>
      <c r="S242" s="460"/>
      <c r="T242" s="460"/>
      <c r="U242" s="460"/>
      <c r="V242" s="624"/>
      <c r="X242" s="624"/>
      <c r="Y242" s="546"/>
    </row>
    <row r="243" spans="1:25" ht="15" customHeight="1" x14ac:dyDescent="0.25">
      <c r="A243" s="427"/>
      <c r="B243" s="568" t="s">
        <v>1366</v>
      </c>
      <c r="C243" s="559"/>
      <c r="D243" s="592" t="str">
        <f>IF(P244="BALFZ","BALFZ",IF(P246="BAL40","BAL40",IF(P248="BAL29","BAL29",IF(P249="BAL19","BAL19",IF(P250="BAL12.5","BAL12.5",IF(D240="YES","BAL Low",""))))))</f>
        <v/>
      </c>
      <c r="E243" s="575"/>
      <c r="F243" s="629" t="str">
        <f>IF(Q244="BALFZ","BALFZ",IF(Q246="BAL40","BAL40",IF(Q248="BAL29","BAL29",IF(Q249="BAL19","BAL19",IF(Q250="BAL12.5","BAL12.5",IF(F240="YES","BAL Low",""))))))</f>
        <v/>
      </c>
      <c r="G243" s="557"/>
      <c r="H243" s="629" t="str">
        <f>IF(R244="BALFZ","BALFZ",IF(R246="BAL40","BAL40",IF(R248="BAL29","BAL29",IF(R249="BAL19","BAL19",IF(R250="BAL12.5","BAL12.5",IF(H240="YES","BAL Low",""))))))</f>
        <v/>
      </c>
      <c r="I243" s="555"/>
      <c r="J243" s="629" t="str">
        <f>IF(S244="BALFZ","BALFZ",IF(S246="BAL40","BAL40",IF(S248="BAL29","BAL29",IF(S249="BAL19","BAL19",IF(S250="BAL12.5","BAL12.5",IF(J240="YES","BAL Low",""))))))</f>
        <v/>
      </c>
      <c r="K243" s="555"/>
      <c r="L243" s="630" t="str">
        <f>IF(T244="BALFZ","BALFZ",IF(T246="BAL40","BAL40",IF(T248="BAL29","BAL29",IF(T249="BAL19","BAL19",IF(T250="BAL12.5","BAL12.5",IF(L240="YES","BAL Low",""))))))</f>
        <v/>
      </c>
      <c r="M243" s="498"/>
      <c r="N243" s="433"/>
      <c r="O243" s="631"/>
      <c r="P243" s="546"/>
      <c r="Q243" s="631"/>
      <c r="R243" s="546"/>
      <c r="S243" s="631"/>
      <c r="T243" s="546"/>
      <c r="U243" s="546"/>
      <c r="V243" s="631"/>
      <c r="W243" s="546"/>
      <c r="X243" s="631"/>
      <c r="Y243" s="546"/>
    </row>
    <row r="244" spans="1:25" ht="15" customHeight="1" x14ac:dyDescent="0.25">
      <c r="A244" s="427"/>
      <c r="B244" s="568" t="str">
        <f>IF(B242="Scrub","Tall Heath APZ","APZ")</f>
        <v>APZ</v>
      </c>
      <c r="C244" s="559"/>
      <c r="D244" s="592" t="str">
        <f>IF(D23=20,20,IF(D33=10,10,IF(D39=10,10,IF(D45=15,15,IF(D55=10,10,IF(D240="YES",10,""))))))</f>
        <v/>
      </c>
      <c r="E244" s="575"/>
      <c r="F244" s="629" t="str">
        <f>IF(F23=20,20,IF(F33=15,15,IF(F39=10,10,IF(F45=15,15,IF(F55=10,10,IF(F240="YES",10,""))))))</f>
        <v/>
      </c>
      <c r="G244" s="557"/>
      <c r="H244" s="629" t="str">
        <f>IF(H23=30,30,IF(H33=15,15,IF(H39=10,10,IF(H45=20,20,IF(H55=10,10,IF(H240="YES",10,""))))))</f>
        <v/>
      </c>
      <c r="I244" s="555"/>
      <c r="J244" s="629" t="str">
        <f>IF(J23=40,40,IF(J33=20,20,IF(J39=10,10,IF(J45=20,20,IF(J55=10,10,IF(J240="YES",10,""))))))</f>
        <v/>
      </c>
      <c r="K244" s="555"/>
      <c r="L244" s="630" t="str">
        <f>IF(L23=45,45,IF(L33=25,25,IF(L39=15,15,IF(L45=20,20,IF(L55=10,10,IF(L240="YES",10,""))))))</f>
        <v/>
      </c>
      <c r="M244" s="498"/>
      <c r="N244" s="433"/>
      <c r="O244" s="546" t="s">
        <v>1362</v>
      </c>
      <c r="P244" s="460" t="str">
        <f>IFERROR(VLOOKUP(O244,$D$21:$D$57,1,FALSE),"")</f>
        <v/>
      </c>
      <c r="Q244" s="460" t="str">
        <f>IFERROR(VLOOKUP(O244,$F$21:$F$57,1,FALSE),"")</f>
        <v/>
      </c>
      <c r="R244" s="460" t="str">
        <f>IFERROR(VLOOKUP(O244,$H$21:$H$57,1,FALSE),"")</f>
        <v/>
      </c>
      <c r="S244" s="460" t="str">
        <f>IFERROR(VLOOKUP(O244,$J$21:$J$57,1,FALSE),"")</f>
        <v/>
      </c>
      <c r="T244" s="460" t="str">
        <f>IFERROR(VLOOKUP(O244,$L$21:$L$57,1,FALSE),"")</f>
        <v/>
      </c>
      <c r="U244" s="460"/>
      <c r="V244" s="606"/>
      <c r="W244" s="546"/>
      <c r="X244" s="606"/>
      <c r="Y244" s="546"/>
    </row>
    <row r="245" spans="1:25" ht="15" customHeight="1" x14ac:dyDescent="0.25">
      <c r="A245" s="427"/>
      <c r="B245" s="568" t="str">
        <f>IF(B241="Forests","Pine Plantation APZ",IF(B241="Scrub","Short Heath APZ",""))</f>
        <v/>
      </c>
      <c r="C245" s="559"/>
      <c r="D245" s="592" t="str">
        <f>IF(D27=15,15,IF(D49=10,10,""))</f>
        <v/>
      </c>
      <c r="E245" s="555" t="str">
        <f t="shared" ref="E245:K245" si="18">IF(E27=15,15,IF(E49=10,10,""))</f>
        <v/>
      </c>
      <c r="F245" s="629" t="str">
        <f>IF(F27=20,20,IF(F49=10,10,""))</f>
        <v/>
      </c>
      <c r="G245" s="557" t="str">
        <f t="shared" si="18"/>
        <v/>
      </c>
      <c r="H245" s="629" t="str">
        <f>IF(H27=25,25,IF(H49=10,10,""))</f>
        <v/>
      </c>
      <c r="I245" s="555" t="str">
        <f t="shared" si="18"/>
        <v/>
      </c>
      <c r="J245" s="629" t="str">
        <f>IF(J27=35,35,IF(J49=15,15,""))</f>
        <v/>
      </c>
      <c r="K245" s="555" t="str">
        <f t="shared" si="18"/>
        <v/>
      </c>
      <c r="L245" s="630" t="str">
        <f>IF(L27=40,40,IF(L49=15,15,""))</f>
        <v/>
      </c>
      <c r="M245" s="498"/>
      <c r="N245" s="433"/>
      <c r="O245" s="546"/>
      <c r="P245" s="460"/>
      <c r="Q245" s="460"/>
      <c r="R245" s="460"/>
      <c r="S245" s="460"/>
      <c r="T245" s="460"/>
      <c r="U245" s="460"/>
      <c r="V245" s="606"/>
      <c r="W245" s="546"/>
      <c r="X245" s="606"/>
      <c r="Y245" s="546"/>
    </row>
    <row r="246" spans="1:25" ht="15" customHeight="1" x14ac:dyDescent="0.25">
      <c r="A246" s="427"/>
      <c r="B246" s="568" t="str">
        <f>IF(B242="Scrub","Tall Heath IPA","IPA")</f>
        <v>IPA</v>
      </c>
      <c r="C246" s="559"/>
      <c r="D246" s="592" t="str">
        <f>IF(D24=10,10,IF(D34=10,10,IF(D40=10,10,IF(D46=15,15,IF(D56=10,10,"")))))</f>
        <v/>
      </c>
      <c r="E246" s="575"/>
      <c r="F246" s="629" t="str">
        <f>IF(F24=15,15,IF(F34=15,15,IF(F40=10,10,IF(F46=15,15,IF(F56=10,10,"")))))</f>
        <v/>
      </c>
      <c r="G246" s="557"/>
      <c r="H246" s="629" t="str">
        <f>IF(H24=15,15,IF(H34=15,15,IF(H40=10,10,IF(H46=20,20,IF(H56=10,10,"")))))</f>
        <v/>
      </c>
      <c r="I246" s="555"/>
      <c r="J246" s="629" t="str">
        <f>IF(J24=20,20,IF(J34=20,20,IF(J40=10,10,IF(J46=20,20,IF(J56=10,10,"")))))</f>
        <v/>
      </c>
      <c r="K246" s="555"/>
      <c r="L246" s="630" t="str">
        <f>IF(L24=25,25,IF(L34=25,25,IF(L40=15,15,IF(L46=20,20,IF(L56=10,10,"")))))</f>
        <v/>
      </c>
      <c r="M246" s="498"/>
      <c r="N246" s="433"/>
      <c r="O246" s="546" t="s">
        <v>1364</v>
      </c>
      <c r="P246" s="460" t="str">
        <f>IFERROR(VLOOKUP(O246,$D$21:$D$57,1,FALSE),"")</f>
        <v/>
      </c>
      <c r="Q246" s="460" t="str">
        <f>IFERROR(VLOOKUP(O246,$F$21:$F$57,1,FALSE),"")</f>
        <v/>
      </c>
      <c r="R246" s="460" t="str">
        <f>IFERROR(VLOOKUP(O246,$H$21:$H$57,1,FALSE),"")</f>
        <v/>
      </c>
      <c r="S246" s="460" t="str">
        <f>IFERROR(VLOOKUP(O246,$J$21:$J$57,1,FALSE),"")</f>
        <v/>
      </c>
      <c r="T246" s="460" t="str">
        <f>IFERROR(VLOOKUP(O246,$L$21:$L$57,1,FALSE),"")</f>
        <v/>
      </c>
      <c r="U246" s="460"/>
      <c r="V246" s="546"/>
      <c r="W246" s="546"/>
      <c r="X246" s="546"/>
      <c r="Y246" s="546"/>
    </row>
    <row r="247" spans="1:25" ht="15" customHeight="1" x14ac:dyDescent="0.25">
      <c r="A247" s="427"/>
      <c r="B247" s="568" t="str">
        <f>IF(B241="Forests","Pine Plantation IPA",IF(B241="Scrub","Short Heath IPA",""))</f>
        <v/>
      </c>
      <c r="C247" s="559"/>
      <c r="D247" s="592" t="str">
        <f>IF(D28=15,15,IF(D50=10,10,""))</f>
        <v/>
      </c>
      <c r="E247" s="575"/>
      <c r="F247" s="629" t="str">
        <f>IF(F28=20,20,IF(F50=10,10,""))</f>
        <v/>
      </c>
      <c r="G247" s="557"/>
      <c r="H247" s="629" t="str">
        <f>IF(H28=25,25,IF(H50=10,10,""))</f>
        <v/>
      </c>
      <c r="I247" s="555"/>
      <c r="J247" s="629" t="str">
        <f>IF(J28=35,35,IF(J50=15,15,""))</f>
        <v/>
      </c>
      <c r="K247" s="555"/>
      <c r="L247" s="630" t="str">
        <f>IF(L28=40,40,IF(L50=15,15,""))</f>
        <v/>
      </c>
      <c r="M247" s="498"/>
      <c r="N247" s="433"/>
      <c r="O247" s="546"/>
      <c r="P247" s="460"/>
      <c r="Q247" s="460"/>
      <c r="R247" s="460"/>
      <c r="S247" s="460"/>
      <c r="T247" s="460"/>
      <c r="U247" s="460"/>
      <c r="V247" s="546"/>
      <c r="W247" s="546"/>
      <c r="X247" s="546"/>
      <c r="Y247" s="546"/>
    </row>
    <row r="248" spans="1:25" ht="15" customHeight="1" x14ac:dyDescent="0.25">
      <c r="A248" s="427"/>
      <c r="B248" s="568" t="str">
        <f>IF(B242="Scrub","Tall Heath OPA","OPA")</f>
        <v>OPA</v>
      </c>
      <c r="C248" s="559"/>
      <c r="D248" s="597" t="str">
        <f>IF(D25=10,10,IF(D35=0,0,IF(D41=0,0,IF(D47=0,0,IF(D57=0,0,"")))))</f>
        <v/>
      </c>
      <c r="E248" s="575"/>
      <c r="F248" s="632" t="str">
        <f>IF(F25=5,5,IF(F35=0,0,IF(F41=0,0,IF(F47=0,0,IF(F57=0,0,"")))))</f>
        <v/>
      </c>
      <c r="G248" s="557"/>
      <c r="H248" s="632" t="str">
        <f>IF(H25=15,15,IF(H35=0,0,IF(H41=0,0,IF(H47=0,0,IF(H57=0,0,"")))))</f>
        <v/>
      </c>
      <c r="I248" s="555"/>
      <c r="J248" s="632" t="str">
        <f>IF(J25=20,20,IF(J35=0,0,IF(J41=0,0,IF(J47=0,0,IF(J57=0,0,"")))))</f>
        <v/>
      </c>
      <c r="K248" s="555"/>
      <c r="L248" s="633" t="str">
        <f>IF(L25=20,20,IF(L35=0,0,IF(L41=0,0,IF(L47=0,0,IF(L57=0,0,"")))))</f>
        <v/>
      </c>
      <c r="M248" s="498"/>
      <c r="N248" s="433"/>
      <c r="O248" s="546" t="s">
        <v>1367</v>
      </c>
      <c r="P248" s="460" t="str">
        <f>IFERROR(VLOOKUP(O248,$D$21:$D$57,1,FALSE),"")</f>
        <v/>
      </c>
      <c r="Q248" s="460" t="str">
        <f>IFERROR(VLOOKUP(O248,$F$21:$F$57,1,FALSE),"")</f>
        <v/>
      </c>
      <c r="R248" s="460" t="str">
        <f>IFERROR(VLOOKUP(O248,$H$21:$H$57,1,FALSE),"")</f>
        <v/>
      </c>
      <c r="S248" s="460" t="str">
        <f>IFERROR(VLOOKUP(O248,$J$21:$J$57,1,FALSE),"")</f>
        <v/>
      </c>
      <c r="T248" s="460" t="str">
        <f>IFERROR(VLOOKUP(O248,$L$21:$L$57,1,FALSE),"")</f>
        <v/>
      </c>
      <c r="U248" s="460"/>
      <c r="V248" s="546"/>
      <c r="W248" s="546"/>
      <c r="X248" s="546"/>
      <c r="Y248" s="546"/>
    </row>
    <row r="249" spans="1:25" ht="15" customHeight="1" thickBot="1" x14ac:dyDescent="0.3">
      <c r="A249" s="427"/>
      <c r="B249" s="573" t="str">
        <f>IF(B241="Forests","Pine Plantation OPA",IF(B241="Scrub","Short Heath OPA",""))</f>
        <v/>
      </c>
      <c r="C249" s="559"/>
      <c r="D249" s="599" t="str">
        <f>IF(D29=0,0,IF(D51=0,0,""))</f>
        <v/>
      </c>
      <c r="E249" s="575"/>
      <c r="F249" s="634" t="str">
        <f>IF(F29=0,0,IF(F51=0,0,""))</f>
        <v/>
      </c>
      <c r="G249" s="557"/>
      <c r="H249" s="634" t="str">
        <f>IF(H29=0,0,IF(H51=0,0,""))</f>
        <v/>
      </c>
      <c r="I249" s="555"/>
      <c r="J249" s="634" t="str">
        <f>IF(J29=0,0,IF(J51=0,0,""))</f>
        <v/>
      </c>
      <c r="K249" s="555"/>
      <c r="L249" s="635" t="str">
        <f>IF(L29=0,0,IF(L51=0,0,""))</f>
        <v/>
      </c>
      <c r="M249" s="498"/>
      <c r="N249" s="433"/>
      <c r="O249" s="546" t="s">
        <v>1368</v>
      </c>
      <c r="P249" s="460" t="str">
        <f>IFERROR(VLOOKUP(O249,$D$21:$D$57,1,FALSE),"")</f>
        <v/>
      </c>
      <c r="Q249" s="460" t="str">
        <f>IFERROR(VLOOKUP(O249,$F$21:$F$57,1,FALSE),"")</f>
        <v/>
      </c>
      <c r="R249" s="460" t="str">
        <f>IFERROR(VLOOKUP(O249,$H$21:$H$57,1,FALSE),"")</f>
        <v/>
      </c>
      <c r="S249" s="460" t="str">
        <f>IFERROR(VLOOKUP(O249,$J$21:$J$57,1,FALSE),"")</f>
        <v/>
      </c>
      <c r="T249" s="460" t="str">
        <f>IFERROR(VLOOKUP(O249,$L$21:$L$57,1,FALSE),"")</f>
        <v/>
      </c>
      <c r="U249" s="460"/>
      <c r="V249" s="613"/>
      <c r="W249" s="546"/>
      <c r="X249" s="613"/>
      <c r="Y249" s="546"/>
    </row>
    <row r="250" spans="1:25" ht="7.5" customHeight="1" thickBot="1" x14ac:dyDescent="0.3">
      <c r="A250" s="486"/>
      <c r="B250" s="487"/>
      <c r="C250" s="487"/>
      <c r="D250" s="488"/>
      <c r="E250" s="489"/>
      <c r="F250" s="488"/>
      <c r="G250" s="490"/>
      <c r="H250" s="491"/>
      <c r="I250" s="492"/>
      <c r="J250" s="487"/>
      <c r="K250" s="493"/>
      <c r="L250" s="491"/>
      <c r="M250" s="516"/>
      <c r="N250" s="517"/>
      <c r="O250" s="546" t="s">
        <v>1369</v>
      </c>
      <c r="P250" s="460" t="str">
        <f>IFERROR(VLOOKUP(O250,$D$21:$D$57,1,FALSE),"")</f>
        <v/>
      </c>
      <c r="Q250" s="460" t="str">
        <f>IFERROR(VLOOKUP(O250,$F$21:$F$57,1,FALSE),"")</f>
        <v/>
      </c>
      <c r="R250" s="460" t="str">
        <f>IFERROR(VLOOKUP(O250,$H$21:$H$57,1,FALSE),"")</f>
        <v/>
      </c>
      <c r="S250" s="460" t="str">
        <f>IFERROR(VLOOKUP(O250,$J$21:$J$57,1,FALSE),"")</f>
        <v/>
      </c>
      <c r="T250" s="460" t="str">
        <f>IFERROR(VLOOKUP(O250,$L$21:$L$57,1,FALSE),"")</f>
        <v/>
      </c>
      <c r="U250" s="460"/>
      <c r="V250" s="615"/>
      <c r="W250" s="546"/>
      <c r="X250" s="615"/>
      <c r="Y250" s="546"/>
    </row>
    <row r="251" spans="1:25" hidden="1" x14ac:dyDescent="0.25">
      <c r="O251" s="624"/>
      <c r="P251" s="546"/>
      <c r="Q251" s="624"/>
      <c r="R251" s="546"/>
      <c r="S251" s="624"/>
      <c r="T251" s="546"/>
      <c r="U251" s="546"/>
      <c r="V251" s="624"/>
      <c r="W251" s="546"/>
      <c r="X251" s="624"/>
      <c r="Y251" s="546"/>
    </row>
    <row r="252" spans="1:25" hidden="1" x14ac:dyDescent="0.25">
      <c r="O252" s="631"/>
      <c r="P252" s="546"/>
      <c r="Q252" s="631"/>
      <c r="R252" s="546"/>
      <c r="S252" s="631"/>
      <c r="T252" s="546"/>
      <c r="U252" s="546"/>
      <c r="V252" s="631"/>
      <c r="W252" s="546"/>
      <c r="X252" s="631"/>
      <c r="Y252" s="546"/>
    </row>
    <row r="253" spans="1:25" hidden="1" x14ac:dyDescent="0.25">
      <c r="O253" s="606"/>
      <c r="P253" s="546"/>
      <c r="Q253" s="606"/>
      <c r="R253" s="546"/>
      <c r="S253" s="606"/>
      <c r="T253" s="546"/>
      <c r="U253" s="546"/>
      <c r="V253" s="606"/>
      <c r="W253" s="546"/>
      <c r="X253" s="606"/>
      <c r="Y253" s="546"/>
    </row>
    <row r="254" spans="1:25" hidden="1" x14ac:dyDescent="0.25">
      <c r="O254" s="546"/>
      <c r="P254" s="546"/>
      <c r="Q254" s="546"/>
      <c r="R254" s="546"/>
      <c r="S254" s="546"/>
      <c r="T254" s="546"/>
      <c r="U254" s="546"/>
      <c r="V254" s="546"/>
      <c r="W254" s="546"/>
      <c r="X254" s="546"/>
      <c r="Y254" s="546"/>
    </row>
    <row r="255" spans="1:25" hidden="1" x14ac:dyDescent="0.25">
      <c r="O255" s="546"/>
      <c r="P255" s="546"/>
      <c r="Q255" s="546"/>
      <c r="R255" s="546"/>
      <c r="S255" s="546"/>
      <c r="T255" s="546"/>
      <c r="U255" s="546"/>
      <c r="V255" s="546"/>
      <c r="W255" s="546"/>
      <c r="X255" s="546"/>
      <c r="Y255" s="546"/>
    </row>
    <row r="256" spans="1:25" hidden="1" x14ac:dyDescent="0.25">
      <c r="O256" s="613"/>
      <c r="P256" s="546"/>
      <c r="Q256" s="613"/>
      <c r="R256" s="546"/>
      <c r="S256" s="613"/>
      <c r="T256" s="546"/>
      <c r="U256" s="546"/>
      <c r="V256" s="613"/>
      <c r="W256" s="546"/>
      <c r="X256" s="613"/>
      <c r="Y256" s="546"/>
    </row>
    <row r="257" spans="15:25" hidden="1" x14ac:dyDescent="0.25">
      <c r="O257" s="615"/>
      <c r="P257" s="546"/>
      <c r="Q257" s="615"/>
      <c r="R257" s="546"/>
      <c r="S257" s="615"/>
      <c r="T257" s="546"/>
      <c r="U257" s="546"/>
      <c r="V257" s="615"/>
      <c r="W257" s="546"/>
      <c r="X257" s="615"/>
      <c r="Y257" s="546"/>
    </row>
    <row r="258" spans="15:25" hidden="1" x14ac:dyDescent="0.25">
      <c r="O258" s="624"/>
      <c r="P258" s="546"/>
      <c r="Q258" s="624"/>
      <c r="R258" s="546"/>
      <c r="S258" s="624"/>
      <c r="T258" s="546"/>
      <c r="U258" s="546"/>
      <c r="V258" s="624"/>
      <c r="W258" s="546"/>
      <c r="X258" s="624"/>
      <c r="Y258" s="546"/>
    </row>
    <row r="259" spans="15:25" hidden="1" x14ac:dyDescent="0.25">
      <c r="O259" s="631"/>
      <c r="P259" s="546"/>
      <c r="Q259" s="631"/>
      <c r="R259" s="546"/>
      <c r="S259" s="631"/>
      <c r="T259" s="546"/>
      <c r="U259" s="546"/>
      <c r="V259" s="631"/>
      <c r="W259" s="546"/>
      <c r="X259" s="631"/>
      <c r="Y259" s="546"/>
    </row>
    <row r="260" spans="15:25" hidden="1" x14ac:dyDescent="0.25">
      <c r="O260" s="606"/>
      <c r="P260" s="546"/>
      <c r="Q260" s="606"/>
      <c r="R260" s="546"/>
      <c r="S260" s="606"/>
      <c r="T260" s="546"/>
      <c r="U260" s="546"/>
      <c r="V260" s="606"/>
      <c r="W260" s="546"/>
      <c r="X260" s="606"/>
      <c r="Y260" s="546"/>
    </row>
  </sheetData>
  <sheetProtection password="CA6B" sheet="1" objects="1" scenarios="1" selectLockedCells="1"/>
  <mergeCells count="29">
    <mergeCell ref="C1:C13"/>
    <mergeCell ref="D2:F2"/>
    <mergeCell ref="D6:F6"/>
    <mergeCell ref="D8:F8"/>
    <mergeCell ref="D10:F10"/>
    <mergeCell ref="D12:F12"/>
    <mergeCell ref="B196:L196"/>
    <mergeCell ref="D14:L14"/>
    <mergeCell ref="B17:N17"/>
    <mergeCell ref="F18:L18"/>
    <mergeCell ref="B61:L61"/>
    <mergeCell ref="M61:N61"/>
    <mergeCell ref="B62:N62"/>
    <mergeCell ref="F63:L63"/>
    <mergeCell ref="B107:N107"/>
    <mergeCell ref="F108:L108"/>
    <mergeCell ref="B152:N152"/>
    <mergeCell ref="F153:L153"/>
    <mergeCell ref="D201:G201"/>
    <mergeCell ref="H201:I201"/>
    <mergeCell ref="J201:L201"/>
    <mergeCell ref="D202:L202"/>
    <mergeCell ref="B197:L198"/>
    <mergeCell ref="D199:G199"/>
    <mergeCell ref="H199:I199"/>
    <mergeCell ref="J199:K199"/>
    <mergeCell ref="D200:G200"/>
    <mergeCell ref="H200:I200"/>
    <mergeCell ref="J200:L200"/>
  </mergeCells>
  <conditionalFormatting sqref="V246:Y260 O251:U260">
    <cfRule type="duplicateValues" dxfId="1" priority="2"/>
  </conditionalFormatting>
  <conditionalFormatting sqref="O243 O212:O214 O227 O229:O230">
    <cfRule type="duplicateValues" dxfId="0" priority="1"/>
  </conditionalFormatting>
  <dataValidations count="32">
    <dataValidation type="list" allowBlank="1" showInputMessage="1" showErrorMessage="1" sqref="L53 L98 L143 L188">
      <formula1>E_29</formula1>
    </dataValidation>
    <dataValidation type="list" allowBlank="1" showInputMessage="1" showErrorMessage="1" sqref="L43 L88 L133 L178">
      <formula1>D_29</formula1>
    </dataValidation>
    <dataValidation type="list" allowBlank="1" showInputMessage="1" showErrorMessage="1" sqref="L37 L82 L127 L172">
      <formula1>C_29</formula1>
    </dataValidation>
    <dataValidation type="list" allowBlank="1" showInputMessage="1" showErrorMessage="1" sqref="L31 L76 L121 L166">
      <formula1>B_29</formula1>
    </dataValidation>
    <dataValidation type="list" allowBlank="1" showInputMessage="1" showErrorMessage="1" sqref="L21 L66 L111 L156">
      <formula1>A_29</formula1>
    </dataValidation>
    <dataValidation type="list" allowBlank="1" showInputMessage="1" showErrorMessage="1" sqref="J53 J98 J143 J188">
      <formula1>E_22</formula1>
    </dataValidation>
    <dataValidation type="list" allowBlank="1" showInputMessage="1" showErrorMessage="1" sqref="J43 J88 J133 J178">
      <formula1>D_22</formula1>
    </dataValidation>
    <dataValidation type="list" allowBlank="1" showInputMessage="1" showErrorMessage="1" sqref="J37 J82 J127 J172">
      <formula1>C_22</formula1>
    </dataValidation>
    <dataValidation type="list" allowBlank="1" showInputMessage="1" showErrorMessage="1" sqref="J31 J76 J121 J166">
      <formula1>B_22</formula1>
    </dataValidation>
    <dataValidation type="list" allowBlank="1" showInputMessage="1" showErrorMessage="1" sqref="J21 J66 J111 J156">
      <formula1>A_22</formula1>
    </dataValidation>
    <dataValidation type="list" allowBlank="1" showInputMessage="1" showErrorMessage="1" sqref="H53 H98 H143 H188">
      <formula1>E_15</formula1>
    </dataValidation>
    <dataValidation type="list" allowBlank="1" showInputMessage="1" showErrorMessage="1" sqref="H43 H88 H133 H178">
      <formula1>D_15</formula1>
    </dataValidation>
    <dataValidation type="list" allowBlank="1" showInputMessage="1" showErrorMessage="1" sqref="H37 H82 H127 H172">
      <formula1>C_15</formula1>
    </dataValidation>
    <dataValidation type="list" allowBlank="1" showInputMessage="1" showErrorMessage="1" sqref="H31 H76 H121 H166">
      <formula1>B_15</formula1>
    </dataValidation>
    <dataValidation type="list" allowBlank="1" showInputMessage="1" showErrorMessage="1" sqref="H21 H66 H111 H156">
      <formula1>A_15</formula1>
    </dataValidation>
    <dataValidation type="list" allowBlank="1" showInputMessage="1" showErrorMessage="1" sqref="F53 F98 F143 F188">
      <formula1>E_8</formula1>
    </dataValidation>
    <dataValidation type="list" allowBlank="1" showInputMessage="1" showErrorMessage="1" sqref="F43 F88 F133 F178">
      <formula1>D_8</formula1>
    </dataValidation>
    <dataValidation type="list" allowBlank="1" showInputMessage="1" showErrorMessage="1" sqref="F37 F82 F127 F172">
      <formula1>C_8</formula1>
    </dataValidation>
    <dataValidation type="list" allowBlank="1" showInputMessage="1" showErrorMessage="1" sqref="F31 F76 F121 F166">
      <formula1>B_8</formula1>
    </dataValidation>
    <dataValidation type="list" allowBlank="1" showInputMessage="1" showErrorMessage="1" sqref="F21 F66 F111 F156">
      <formula1>A_8</formula1>
    </dataValidation>
    <dataValidation type="list" allowBlank="1" showInputMessage="1" showErrorMessage="1" sqref="D59 F59 H59 J59 L59 D104 F104 H104 J104 L104 D149 F149 H149 J149 L149 D194 F194 H194 J194 L194">
      <formula1>Greater50</formula1>
    </dataValidation>
    <dataValidation type="list" allowBlank="1" showInputMessage="1" showErrorMessage="1" sqref="D53 D98 D143 D188">
      <formula1>E_1</formula1>
    </dataValidation>
    <dataValidation type="list" allowBlank="1" showInputMessage="1" showErrorMessage="1" sqref="D43 D88 D133 D178">
      <formula1>D_1</formula1>
    </dataValidation>
    <dataValidation type="list" allowBlank="1" showInputMessage="1" showErrorMessage="1" sqref="D37 D82 D127 D172">
      <formula1>C_1</formula1>
    </dataValidation>
    <dataValidation type="list" allowBlank="1" showInputMessage="1" showErrorMessage="1" sqref="D31 D76 D121 D166">
      <formula1>B_1</formula1>
    </dataValidation>
    <dataValidation type="list" allowBlank="1" showInputMessage="1" showErrorMessage="1" sqref="D21 D66 D111 D156">
      <formula1>A_1</formula1>
    </dataValidation>
    <dataValidation type="list" allowBlank="1" showInputMessage="1" showErrorMessage="1" sqref="D12:F12">
      <formula1>Decision</formula1>
    </dataValidation>
    <dataValidation type="list" allowBlank="1" showInputMessage="1" showErrorMessage="1" sqref="D10:F10">
      <formula1>Solution</formula1>
    </dataValidation>
    <dataValidation type="list" allowBlank="1" showInputMessage="1" showErrorMessage="1" sqref="D8:F8">
      <formula1>Zone</formula1>
    </dataValidation>
    <dataValidation type="list" allowBlank="1" showInputMessage="1" showErrorMessage="1" sqref="D4">
      <formula1>BALYesNo</formula1>
    </dataValidation>
    <dataValidation type="list" allowBlank="1" showInputMessage="1" showErrorMessage="1" sqref="D6:F6">
      <formula1>Building</formula1>
    </dataValidation>
    <dataValidation type="list" allowBlank="1" showInputMessage="1" showErrorMessage="1" sqref="D2:F2">
      <formula1>BALYesNo</formula1>
    </dataValidation>
  </dataValidations>
  <printOptions horizontalCentered="1"/>
  <pageMargins left="0.11811023622047245" right="0.11811023622047245" top="0" bottom="0" header="0.31496062992125984" footer="0.31496062992125984"/>
  <pageSetup paperSize="9" scale="89" orientation="portrait" r:id="rId1"/>
  <rowBreaks count="1" manualBreakCount="1">
    <brk id="106" max="16383" man="1"/>
  </rowBreaks>
  <ignoredErrors>
    <ignoredError sqref="H206 J206 F245 H245 J245" formula="1"/>
    <ignoredError sqref="J4 L4" unlockedFormula="1"/>
  </ignoredErrors>
  <drawing r:id="rId2"/>
  <legacyDrawing r:id="rId3"/>
  <controls>
    <mc:AlternateContent xmlns:mc="http://schemas.openxmlformats.org/markup-compatibility/2006">
      <mc:Choice Requires="x14">
        <control shapeId="24583" r:id="rId4" name="CommandButton1">
          <controlPr defaultSize="0" print="0" autoLine="0" autoPict="0" r:id="rId5">
            <anchor moveWithCells="1">
              <from>
                <xdr:col>8</xdr:col>
                <xdr:colOff>0</xdr:colOff>
                <xdr:row>7</xdr:row>
                <xdr:rowOff>0</xdr:rowOff>
              </from>
              <to>
                <xdr:col>11</xdr:col>
                <xdr:colOff>0</xdr:colOff>
                <xdr:row>10</xdr:row>
                <xdr:rowOff>0</xdr:rowOff>
              </to>
            </anchor>
          </controlPr>
        </control>
      </mc:Choice>
      <mc:Fallback>
        <control shapeId="24583" r:id="rId4" name="CommandButton1"/>
      </mc:Fallback>
    </mc:AlternateContent>
    <mc:AlternateContent xmlns:mc="http://schemas.openxmlformats.org/markup-compatibility/2006">
      <mc:Choice Requires="x14">
        <control shapeId="24584" r:id="rId6" name="CommandButton2">
          <controlPr defaultSize="0" autoLine="0" autoPict="0" r:id="rId7">
            <anchor moveWithCells="1">
              <from>
                <xdr:col>4</xdr:col>
                <xdr:colOff>0</xdr:colOff>
                <xdr:row>196</xdr:row>
                <xdr:rowOff>123825</xdr:rowOff>
              </from>
              <to>
                <xdr:col>8</xdr:col>
                <xdr:colOff>0</xdr:colOff>
                <xdr:row>198</xdr:row>
                <xdr:rowOff>0</xdr:rowOff>
              </to>
            </anchor>
          </controlPr>
        </control>
      </mc:Choice>
      <mc:Fallback>
        <control shapeId="24584" r:id="rId6" name="CommandButton2"/>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34"/>
  <sheetViews>
    <sheetView workbookViewId="0">
      <selection activeCell="G31" sqref="G31:G32"/>
    </sheetView>
  </sheetViews>
  <sheetFormatPr defaultRowHeight="15" x14ac:dyDescent="0.25"/>
  <cols>
    <col min="1" max="6" width="9.140625" style="380"/>
    <col min="7" max="7" width="23.85546875" style="380" bestFit="1" customWidth="1"/>
    <col min="8" max="8" width="9.140625" style="380"/>
    <col min="9" max="9" width="26.7109375" style="380" bestFit="1" customWidth="1"/>
    <col min="10" max="16384" width="9.140625" style="380"/>
  </cols>
  <sheetData>
    <row r="1" spans="1:9" x14ac:dyDescent="0.25">
      <c r="A1" s="642" t="s">
        <v>1370</v>
      </c>
      <c r="B1" s="642" t="s">
        <v>1371</v>
      </c>
      <c r="C1" s="642" t="s">
        <v>1372</v>
      </c>
      <c r="D1" s="642" t="s">
        <v>1371</v>
      </c>
      <c r="E1" s="642" t="s">
        <v>1373</v>
      </c>
    </row>
    <row r="2" spans="1:9" x14ac:dyDescent="0.25">
      <c r="A2" s="643" t="s">
        <v>1374</v>
      </c>
      <c r="B2" s="643" t="s">
        <v>1375</v>
      </c>
      <c r="C2" s="643" t="s">
        <v>1376</v>
      </c>
      <c r="D2" s="643" t="s">
        <v>1377</v>
      </c>
      <c r="E2" s="643" t="s">
        <v>1378</v>
      </c>
    </row>
    <row r="3" spans="1:9" x14ac:dyDescent="0.25">
      <c r="A3" s="644" t="s">
        <v>1379</v>
      </c>
      <c r="B3" s="644" t="s">
        <v>1380</v>
      </c>
      <c r="C3" s="644" t="s">
        <v>1381</v>
      </c>
      <c r="D3" s="644" t="s">
        <v>1382</v>
      </c>
      <c r="E3" s="644" t="s">
        <v>1383</v>
      </c>
    </row>
    <row r="4" spans="1:9" x14ac:dyDescent="0.25">
      <c r="A4" s="645" t="s">
        <v>1384</v>
      </c>
      <c r="B4" s="645" t="s">
        <v>1385</v>
      </c>
      <c r="C4" s="645" t="s">
        <v>1382</v>
      </c>
      <c r="D4" s="645" t="s">
        <v>1386</v>
      </c>
      <c r="E4" s="645" t="s">
        <v>1387</v>
      </c>
    </row>
    <row r="5" spans="1:9" x14ac:dyDescent="0.25">
      <c r="A5" s="646" t="s">
        <v>1388</v>
      </c>
      <c r="B5" s="646" t="s">
        <v>1389</v>
      </c>
      <c r="C5" s="646" t="s">
        <v>1390</v>
      </c>
      <c r="D5" s="646" t="s">
        <v>1391</v>
      </c>
      <c r="E5" s="646" t="s">
        <v>1392</v>
      </c>
    </row>
    <row r="8" spans="1:9" x14ac:dyDescent="0.25">
      <c r="A8" s="642" t="s">
        <v>1393</v>
      </c>
      <c r="B8" s="642" t="s">
        <v>1394</v>
      </c>
      <c r="C8" s="642" t="s">
        <v>1372</v>
      </c>
      <c r="D8" s="642" t="s">
        <v>1395</v>
      </c>
      <c r="E8" s="642" t="s">
        <v>1372</v>
      </c>
    </row>
    <row r="9" spans="1:9" x14ac:dyDescent="0.25">
      <c r="A9" s="643" t="s">
        <v>1396</v>
      </c>
      <c r="B9" s="643" t="s">
        <v>1387</v>
      </c>
      <c r="C9" s="643" t="s">
        <v>1397</v>
      </c>
      <c r="D9" s="643" t="s">
        <v>1398</v>
      </c>
      <c r="E9" s="643" t="s">
        <v>1376</v>
      </c>
    </row>
    <row r="10" spans="1:9" x14ac:dyDescent="0.25">
      <c r="A10" s="644" t="s">
        <v>1399</v>
      </c>
      <c r="B10" s="644" t="s">
        <v>1400</v>
      </c>
      <c r="C10" s="644" t="s">
        <v>1401</v>
      </c>
      <c r="D10" s="644" t="s">
        <v>1402</v>
      </c>
      <c r="E10" s="644" t="s">
        <v>1403</v>
      </c>
    </row>
    <row r="11" spans="1:9" x14ac:dyDescent="0.25">
      <c r="A11" s="645" t="s">
        <v>1404</v>
      </c>
      <c r="B11" s="645" t="s">
        <v>1405</v>
      </c>
      <c r="C11" s="645" t="s">
        <v>1402</v>
      </c>
      <c r="D11" s="645" t="s">
        <v>1406</v>
      </c>
      <c r="E11" s="645" t="s">
        <v>1380</v>
      </c>
    </row>
    <row r="12" spans="1:9" x14ac:dyDescent="0.25">
      <c r="A12" s="646" t="s">
        <v>1407</v>
      </c>
      <c r="B12" s="646" t="s">
        <v>1408</v>
      </c>
      <c r="C12" s="646" t="s">
        <v>1409</v>
      </c>
      <c r="D12" s="646" t="s">
        <v>1410</v>
      </c>
      <c r="E12" s="646" t="s">
        <v>1411</v>
      </c>
    </row>
    <row r="15" spans="1:9" x14ac:dyDescent="0.25">
      <c r="A15" s="642" t="s">
        <v>1412</v>
      </c>
      <c r="B15" s="642" t="s">
        <v>1370</v>
      </c>
      <c r="C15" s="642" t="s">
        <v>1413</v>
      </c>
      <c r="D15" s="642" t="s">
        <v>1414</v>
      </c>
      <c r="E15" s="642" t="s">
        <v>1413</v>
      </c>
    </row>
    <row r="16" spans="1:9" x14ac:dyDescent="0.25">
      <c r="A16" s="643" t="s">
        <v>1415</v>
      </c>
      <c r="B16" s="643" t="s">
        <v>1416</v>
      </c>
      <c r="C16" s="643" t="s">
        <v>1417</v>
      </c>
      <c r="D16" s="643" t="s">
        <v>1418</v>
      </c>
      <c r="E16" s="643" t="s">
        <v>1419</v>
      </c>
      <c r="G16" s="462" t="s">
        <v>1330</v>
      </c>
      <c r="I16" s="380" t="s">
        <v>1420</v>
      </c>
    </row>
    <row r="17" spans="1:9" x14ac:dyDescent="0.25">
      <c r="A17" s="644" t="s">
        <v>1421</v>
      </c>
      <c r="B17" s="644" t="s">
        <v>1406</v>
      </c>
      <c r="C17" s="644" t="s">
        <v>1422</v>
      </c>
      <c r="D17" s="644" t="s">
        <v>1423</v>
      </c>
      <c r="E17" s="644" t="s">
        <v>1424</v>
      </c>
      <c r="G17" s="462" t="s">
        <v>1425</v>
      </c>
      <c r="I17" s="380" t="s">
        <v>1426</v>
      </c>
    </row>
    <row r="18" spans="1:9" x14ac:dyDescent="0.25">
      <c r="A18" s="645" t="s">
        <v>1427</v>
      </c>
      <c r="B18" s="645" t="s">
        <v>1428</v>
      </c>
      <c r="C18" s="645" t="s">
        <v>1400</v>
      </c>
      <c r="D18" s="645" t="s">
        <v>1429</v>
      </c>
      <c r="E18" s="645" t="s">
        <v>1430</v>
      </c>
      <c r="G18" s="462" t="s">
        <v>1431</v>
      </c>
      <c r="I18" s="380" t="s">
        <v>1059</v>
      </c>
    </row>
    <row r="19" spans="1:9" x14ac:dyDescent="0.25">
      <c r="A19" s="646" t="s">
        <v>1432</v>
      </c>
      <c r="B19" s="646" t="s">
        <v>1433</v>
      </c>
      <c r="C19" s="646" t="s">
        <v>1434</v>
      </c>
      <c r="D19" s="646" t="s">
        <v>1408</v>
      </c>
      <c r="E19" s="646" t="s">
        <v>1435</v>
      </c>
      <c r="G19" s="462" t="s">
        <v>1436</v>
      </c>
    </row>
    <row r="20" spans="1:9" x14ac:dyDescent="0.25">
      <c r="G20" s="462" t="s">
        <v>1437</v>
      </c>
      <c r="I20" s="380" t="s">
        <v>1438</v>
      </c>
    </row>
    <row r="21" spans="1:9" x14ac:dyDescent="0.25">
      <c r="G21" s="462" t="s">
        <v>1439</v>
      </c>
      <c r="I21" s="380" t="s">
        <v>1440</v>
      </c>
    </row>
    <row r="22" spans="1:9" x14ac:dyDescent="0.25">
      <c r="A22" s="642" t="s">
        <v>1441</v>
      </c>
      <c r="B22" s="642" t="s">
        <v>1442</v>
      </c>
      <c r="C22" s="642" t="s">
        <v>1443</v>
      </c>
      <c r="D22" s="642" t="s">
        <v>1444</v>
      </c>
      <c r="E22" s="642" t="s">
        <v>1443</v>
      </c>
      <c r="G22" s="462" t="s">
        <v>1445</v>
      </c>
      <c r="I22" s="380" t="s">
        <v>1446</v>
      </c>
    </row>
    <row r="23" spans="1:9" x14ac:dyDescent="0.25">
      <c r="A23" s="643" t="s">
        <v>1447</v>
      </c>
      <c r="B23" s="643" t="s">
        <v>1448</v>
      </c>
      <c r="C23" s="643" t="s">
        <v>1381</v>
      </c>
      <c r="D23" s="643" t="s">
        <v>1449</v>
      </c>
      <c r="E23" s="643" t="s">
        <v>1450</v>
      </c>
      <c r="G23" s="462" t="s">
        <v>1346</v>
      </c>
      <c r="I23" s="380" t="s">
        <v>1451</v>
      </c>
    </row>
    <row r="24" spans="1:9" x14ac:dyDescent="0.25">
      <c r="A24" s="644" t="s">
        <v>1452</v>
      </c>
      <c r="B24" s="644" t="s">
        <v>1453</v>
      </c>
      <c r="C24" s="644" t="s">
        <v>1382</v>
      </c>
      <c r="D24" s="644" t="s">
        <v>1454</v>
      </c>
      <c r="E24" s="644" t="s">
        <v>1455</v>
      </c>
    </row>
    <row r="25" spans="1:9" x14ac:dyDescent="0.25">
      <c r="A25" s="645" t="s">
        <v>1456</v>
      </c>
      <c r="B25" s="645" t="s">
        <v>1457</v>
      </c>
      <c r="C25" s="645" t="s">
        <v>1454</v>
      </c>
      <c r="D25" s="645" t="s">
        <v>1453</v>
      </c>
      <c r="E25" s="645" t="s">
        <v>1458</v>
      </c>
      <c r="G25" s="462" t="s">
        <v>1459</v>
      </c>
      <c r="I25" s="380" t="s">
        <v>1460</v>
      </c>
    </row>
    <row r="26" spans="1:9" x14ac:dyDescent="0.25">
      <c r="A26" s="646" t="s">
        <v>1461</v>
      </c>
      <c r="B26" s="646" t="s">
        <v>1462</v>
      </c>
      <c r="C26" s="646" t="s">
        <v>1463</v>
      </c>
      <c r="D26" s="646" t="s">
        <v>1464</v>
      </c>
      <c r="E26" s="646" t="s">
        <v>1465</v>
      </c>
      <c r="G26" s="462" t="s">
        <v>1466</v>
      </c>
      <c r="I26" s="380" t="s">
        <v>1467</v>
      </c>
    </row>
    <row r="27" spans="1:9" x14ac:dyDescent="0.25">
      <c r="G27" s="462" t="s">
        <v>1468</v>
      </c>
      <c r="I27" s="380" t="s">
        <v>1469</v>
      </c>
    </row>
    <row r="28" spans="1:9" x14ac:dyDescent="0.25">
      <c r="G28" s="462" t="s">
        <v>1470</v>
      </c>
      <c r="I28" s="380" t="s">
        <v>1471</v>
      </c>
    </row>
    <row r="29" spans="1:9" x14ac:dyDescent="0.25">
      <c r="A29" s="642" t="s">
        <v>1472</v>
      </c>
      <c r="B29" s="642" t="s">
        <v>1473</v>
      </c>
      <c r="C29" s="642" t="s">
        <v>1371</v>
      </c>
      <c r="D29" s="642" t="s">
        <v>1474</v>
      </c>
      <c r="E29" s="642" t="s">
        <v>1371</v>
      </c>
      <c r="G29" s="462" t="s">
        <v>1475</v>
      </c>
      <c r="I29" s="380" t="s">
        <v>20</v>
      </c>
    </row>
    <row r="30" spans="1:9" x14ac:dyDescent="0.25">
      <c r="A30" s="643" t="s">
        <v>1476</v>
      </c>
      <c r="B30" s="643" t="s">
        <v>1477</v>
      </c>
      <c r="C30" s="643" t="s">
        <v>1401</v>
      </c>
      <c r="D30" s="643" t="s">
        <v>1478</v>
      </c>
      <c r="E30" s="643" t="s">
        <v>1375</v>
      </c>
      <c r="I30" s="380" t="s">
        <v>1479</v>
      </c>
    </row>
    <row r="31" spans="1:9" x14ac:dyDescent="0.25">
      <c r="A31" s="644" t="s">
        <v>1480</v>
      </c>
      <c r="B31" s="644" t="s">
        <v>1481</v>
      </c>
      <c r="C31" s="644" t="s">
        <v>1402</v>
      </c>
      <c r="D31" s="644" t="s">
        <v>1379</v>
      </c>
      <c r="E31" s="644" t="s">
        <v>1482</v>
      </c>
      <c r="G31" s="462" t="s">
        <v>22</v>
      </c>
    </row>
    <row r="32" spans="1:9" x14ac:dyDescent="0.25">
      <c r="A32" s="645" t="s">
        <v>1483</v>
      </c>
      <c r="B32" s="645" t="s">
        <v>1484</v>
      </c>
      <c r="C32" s="645" t="s">
        <v>1406</v>
      </c>
      <c r="D32" s="645" t="s">
        <v>1428</v>
      </c>
      <c r="E32" s="645" t="s">
        <v>1485</v>
      </c>
      <c r="G32" s="462" t="s">
        <v>23</v>
      </c>
      <c r="I32" s="380" t="s">
        <v>1486</v>
      </c>
    </row>
    <row r="33" spans="1:9" x14ac:dyDescent="0.25">
      <c r="A33" s="646" t="s">
        <v>1487</v>
      </c>
      <c r="B33" s="646" t="s">
        <v>1488</v>
      </c>
      <c r="C33" s="646" t="s">
        <v>1410</v>
      </c>
      <c r="D33" s="646" t="s">
        <v>1433</v>
      </c>
      <c r="E33" s="646" t="s">
        <v>1489</v>
      </c>
      <c r="I33" s="380" t="s">
        <v>1490</v>
      </c>
    </row>
    <row r="34" spans="1:9" x14ac:dyDescent="0.25">
      <c r="G34" s="462" t="s">
        <v>61</v>
      </c>
      <c r="I34" s="380" t="s">
        <v>1491</v>
      </c>
    </row>
  </sheetData>
  <pageMargins left="0.70866141732283472" right="0.70866141732283472" top="0.74803149606299213" bottom="0.74803149606299213" header="0.31496062992125984" footer="0.31496062992125984"/>
  <pageSetup paperSize="9"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CA8E0"/>
  </sheetPr>
  <dimension ref="A1:AB78"/>
  <sheetViews>
    <sheetView showRowColHeaders="0" workbookViewId="0">
      <selection activeCell="N1" sqref="N1:AA1048576"/>
    </sheetView>
  </sheetViews>
  <sheetFormatPr defaultColWidth="0" defaultRowHeight="12.75" zeroHeight="1" x14ac:dyDescent="0.2"/>
  <cols>
    <col min="1" max="8" width="9.140625" style="869" customWidth="1"/>
    <col min="9" max="9" width="4" style="869" customWidth="1"/>
    <col min="10" max="12" width="9.140625" style="869" customWidth="1"/>
    <col min="13" max="13" width="8.85546875" style="869" customWidth="1"/>
    <col min="14" max="17" width="9.140625" style="869" hidden="1" customWidth="1"/>
    <col min="18" max="18" width="2.5703125" style="869" hidden="1" customWidth="1"/>
    <col min="19" max="26" width="9.140625" style="869" hidden="1" customWidth="1"/>
    <col min="27" max="27" width="4.7109375" style="869" hidden="1" customWidth="1"/>
    <col min="28" max="28" width="0" style="869" hidden="1" customWidth="1"/>
    <col min="29" max="16384" width="9.140625" hidden="1"/>
  </cols>
  <sheetData>
    <row r="1" spans="1:1" x14ac:dyDescent="0.2">
      <c r="A1"/>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c r="A13"/>
    </row>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sheetData>
  <sheetProtection password="CA6B" sheet="1" objects="1" scenarios="1" selectLockedCells="1" selectUnlockedCells="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00FF"/>
  </sheetPr>
  <dimension ref="A1:J34"/>
  <sheetViews>
    <sheetView showRowColHeaders="0" topLeftCell="B1" workbookViewId="0">
      <selection activeCell="B1" sqref="B1"/>
    </sheetView>
  </sheetViews>
  <sheetFormatPr defaultColWidth="0" defaultRowHeight="12.75" zeroHeight="1" x14ac:dyDescent="0.2"/>
  <cols>
    <col min="1" max="1" width="9.140625" hidden="1" customWidth="1"/>
    <col min="2" max="10" width="9.140625" customWidth="1"/>
    <col min="11" max="16384" width="9.140625" hidden="1"/>
  </cols>
  <sheetData>
    <row r="1" spans="1:10" x14ac:dyDescent="0.2">
      <c r="A1" s="872"/>
      <c r="B1" s="872"/>
      <c r="C1" s="872"/>
      <c r="D1" s="872"/>
      <c r="E1" s="872"/>
      <c r="F1" s="872"/>
      <c r="G1" s="872"/>
      <c r="H1" s="872"/>
      <c r="I1" s="872"/>
      <c r="J1" s="872"/>
    </row>
    <row r="2" spans="1:10" x14ac:dyDescent="0.2">
      <c r="A2" s="872"/>
      <c r="B2" s="872"/>
      <c r="C2" s="872"/>
      <c r="D2" s="872"/>
      <c r="E2" s="872"/>
      <c r="F2" s="872"/>
      <c r="G2" s="872"/>
      <c r="H2" s="872"/>
      <c r="I2" s="872"/>
      <c r="J2" s="872"/>
    </row>
    <row r="3" spans="1:10" x14ac:dyDescent="0.2">
      <c r="A3" s="872"/>
      <c r="B3" s="872"/>
      <c r="C3" s="872"/>
      <c r="D3" s="872"/>
      <c r="E3" s="872"/>
      <c r="F3" s="872"/>
      <c r="G3" s="872"/>
      <c r="H3" s="872"/>
      <c r="I3" s="872"/>
      <c r="J3" s="872"/>
    </row>
    <row r="4" spans="1:10" x14ac:dyDescent="0.2">
      <c r="A4" s="872"/>
      <c r="B4" s="872"/>
      <c r="C4" s="872"/>
      <c r="D4" s="872"/>
      <c r="E4" s="872"/>
      <c r="F4" s="872"/>
      <c r="G4" s="872"/>
      <c r="H4" s="872"/>
      <c r="I4" s="872"/>
      <c r="J4" s="872"/>
    </row>
    <row r="5" spans="1:10" x14ac:dyDescent="0.2">
      <c r="A5" s="872"/>
      <c r="B5" s="872"/>
      <c r="C5" s="872"/>
      <c r="D5" s="872"/>
      <c r="E5" s="872"/>
      <c r="F5" s="872"/>
      <c r="G5" s="872"/>
      <c r="H5" s="872"/>
      <c r="I5" s="872"/>
      <c r="J5" s="872"/>
    </row>
    <row r="6" spans="1:10" x14ac:dyDescent="0.2">
      <c r="A6" s="872"/>
      <c r="B6" s="872"/>
      <c r="C6" s="872"/>
      <c r="D6" s="872"/>
      <c r="E6" s="872"/>
      <c r="F6" s="872"/>
      <c r="G6" s="872"/>
      <c r="H6" s="872"/>
      <c r="I6" s="872"/>
      <c r="J6" s="872"/>
    </row>
    <row r="7" spans="1:10" x14ac:dyDescent="0.2">
      <c r="A7" s="872"/>
      <c r="B7" s="872"/>
      <c r="C7" s="872"/>
      <c r="D7" s="872"/>
      <c r="E7" s="872"/>
      <c r="F7" s="872"/>
      <c r="G7" s="872"/>
      <c r="H7" s="872"/>
      <c r="I7" s="872"/>
      <c r="J7" s="872"/>
    </row>
    <row r="8" spans="1:10" x14ac:dyDescent="0.2">
      <c r="A8" s="872"/>
      <c r="B8" s="872"/>
      <c r="C8" s="872"/>
      <c r="D8" s="872"/>
      <c r="E8" s="872"/>
      <c r="F8" s="872"/>
      <c r="G8" s="872"/>
      <c r="H8" s="872"/>
      <c r="I8" s="872"/>
      <c r="J8" s="872"/>
    </row>
    <row r="9" spans="1:10" x14ac:dyDescent="0.2">
      <c r="A9" s="872"/>
      <c r="B9" s="872"/>
      <c r="C9" s="872"/>
      <c r="D9" s="872"/>
      <c r="E9" s="872"/>
      <c r="F9" s="872"/>
      <c r="G9" s="872"/>
      <c r="H9" s="872"/>
      <c r="I9" s="872"/>
      <c r="J9" s="872"/>
    </row>
    <row r="10" spans="1:10" x14ac:dyDescent="0.2">
      <c r="A10" s="872"/>
      <c r="B10" s="872"/>
      <c r="C10" s="872"/>
      <c r="D10" s="872"/>
      <c r="E10" s="872"/>
      <c r="F10" s="872"/>
      <c r="G10" s="872"/>
      <c r="H10" s="872"/>
      <c r="I10" s="872"/>
      <c r="J10" s="872"/>
    </row>
    <row r="11" spans="1:10" x14ac:dyDescent="0.2">
      <c r="A11" s="872"/>
      <c r="B11" s="872"/>
      <c r="C11" s="872"/>
      <c r="D11" s="872"/>
      <c r="E11" s="872"/>
      <c r="F11" s="872"/>
      <c r="G11" s="872"/>
      <c r="H11" s="872"/>
      <c r="I11" s="872"/>
      <c r="J11" s="872"/>
    </row>
    <row r="12" spans="1:10" x14ac:dyDescent="0.2">
      <c r="A12" s="872"/>
      <c r="B12" s="872"/>
      <c r="C12" s="872"/>
      <c r="D12" s="872"/>
      <c r="E12" s="872"/>
      <c r="F12" s="872"/>
      <c r="G12" s="872"/>
      <c r="H12" s="872"/>
      <c r="I12" s="872"/>
      <c r="J12" s="872"/>
    </row>
    <row r="13" spans="1:10" x14ac:dyDescent="0.2">
      <c r="A13" s="872"/>
      <c r="B13" s="872"/>
      <c r="C13" s="872"/>
      <c r="D13" s="872"/>
      <c r="E13" s="872"/>
      <c r="F13" s="872"/>
      <c r="G13" s="872"/>
      <c r="H13" s="872"/>
      <c r="I13" s="872"/>
      <c r="J13" s="872"/>
    </row>
    <row r="14" spans="1:10" x14ac:dyDescent="0.2">
      <c r="A14" s="872"/>
      <c r="B14" s="872"/>
      <c r="C14" s="872"/>
      <c r="D14" s="872"/>
      <c r="E14" s="872"/>
      <c r="F14" s="872"/>
      <c r="G14" s="872"/>
      <c r="H14" s="872"/>
      <c r="I14" s="872"/>
      <c r="J14" s="872"/>
    </row>
    <row r="15" spans="1:10" x14ac:dyDescent="0.2">
      <c r="A15" s="872"/>
      <c r="B15" s="872"/>
      <c r="C15" s="872"/>
      <c r="D15" s="872"/>
      <c r="E15" s="872"/>
      <c r="F15" s="872"/>
      <c r="G15" s="872"/>
      <c r="H15" s="872"/>
      <c r="I15" s="872"/>
      <c r="J15" s="872"/>
    </row>
    <row r="16" spans="1:10" x14ac:dyDescent="0.2">
      <c r="A16" s="872"/>
      <c r="B16" s="872"/>
      <c r="C16" s="872"/>
      <c r="D16" s="872"/>
      <c r="E16" s="872"/>
      <c r="F16" s="872"/>
      <c r="G16" s="872"/>
      <c r="H16" s="872"/>
      <c r="I16" s="872"/>
      <c r="J16" s="872"/>
    </row>
    <row r="17" spans="1:10" x14ac:dyDescent="0.2">
      <c r="A17" s="872"/>
      <c r="B17" s="872"/>
      <c r="C17" s="872"/>
      <c r="D17" s="872"/>
      <c r="E17" s="872"/>
      <c r="F17" s="872"/>
      <c r="G17" s="872"/>
      <c r="H17" s="872"/>
      <c r="I17" s="872"/>
      <c r="J17" s="872"/>
    </row>
    <row r="18" spans="1:10" x14ac:dyDescent="0.2">
      <c r="A18" s="872"/>
      <c r="B18" s="872"/>
      <c r="C18" s="872"/>
      <c r="D18" s="872"/>
      <c r="E18" s="872"/>
      <c r="F18" s="872"/>
      <c r="G18" s="872"/>
      <c r="H18" s="872"/>
      <c r="I18" s="872"/>
      <c r="J18" s="872"/>
    </row>
    <row r="19" spans="1:10" x14ac:dyDescent="0.2">
      <c r="A19" s="872"/>
      <c r="B19" s="872"/>
      <c r="C19" s="872"/>
      <c r="D19" s="872"/>
      <c r="E19" s="872"/>
      <c r="F19" s="872"/>
      <c r="G19" s="872"/>
      <c r="H19" s="872"/>
      <c r="I19" s="872"/>
      <c r="J19" s="872"/>
    </row>
    <row r="20" spans="1:10" x14ac:dyDescent="0.2">
      <c r="A20" s="872"/>
      <c r="B20" s="872"/>
      <c r="C20" s="872"/>
      <c r="D20" s="872"/>
      <c r="E20" s="872"/>
      <c r="F20" s="872"/>
      <c r="G20" s="872"/>
      <c r="H20" s="872"/>
      <c r="I20" s="872"/>
      <c r="J20" s="872"/>
    </row>
    <row r="21" spans="1:10" x14ac:dyDescent="0.2">
      <c r="A21" s="872"/>
      <c r="B21" s="872"/>
      <c r="C21" s="872"/>
      <c r="D21" s="872"/>
      <c r="E21" s="872"/>
      <c r="F21" s="872"/>
      <c r="G21" s="872"/>
      <c r="H21" s="872"/>
      <c r="I21" s="872"/>
      <c r="J21" s="872"/>
    </row>
    <row r="22" spans="1:10" x14ac:dyDescent="0.2">
      <c r="A22" s="872"/>
      <c r="B22" s="872"/>
      <c r="C22" s="872"/>
      <c r="D22" s="872"/>
      <c r="E22" s="872"/>
      <c r="F22" s="872"/>
      <c r="G22" s="872"/>
      <c r="H22" s="872"/>
      <c r="I22" s="872"/>
      <c r="J22" s="872"/>
    </row>
    <row r="23" spans="1:10" x14ac:dyDescent="0.2">
      <c r="A23" s="872"/>
      <c r="B23" s="872"/>
      <c r="C23" s="872"/>
      <c r="D23" s="872"/>
      <c r="E23" s="872"/>
      <c r="F23" s="872"/>
      <c r="G23" s="872"/>
      <c r="H23" s="872"/>
      <c r="I23" s="872"/>
      <c r="J23" s="872"/>
    </row>
    <row r="24" spans="1:10" x14ac:dyDescent="0.2">
      <c r="A24" s="872"/>
      <c r="B24" s="872"/>
      <c r="C24" s="872"/>
      <c r="D24" s="872"/>
      <c r="E24" s="872"/>
      <c r="F24" s="872"/>
      <c r="G24" s="872"/>
      <c r="H24" s="872"/>
      <c r="I24" s="872"/>
      <c r="J24" s="872"/>
    </row>
    <row r="25" spans="1:10" x14ac:dyDescent="0.2">
      <c r="A25" s="872"/>
      <c r="B25" s="872"/>
      <c r="C25" s="872"/>
      <c r="D25" s="872"/>
      <c r="E25" s="872"/>
      <c r="F25" s="872"/>
      <c r="G25" s="872"/>
      <c r="H25" s="872"/>
      <c r="I25" s="872"/>
      <c r="J25" s="872"/>
    </row>
    <row r="26" spans="1:10" x14ac:dyDescent="0.2">
      <c r="A26" s="872"/>
      <c r="B26" s="872"/>
      <c r="C26" s="872"/>
      <c r="D26" s="872"/>
      <c r="E26" s="872"/>
      <c r="F26" s="872"/>
      <c r="G26" s="872"/>
      <c r="H26" s="872"/>
      <c r="I26" s="872"/>
      <c r="J26" s="872"/>
    </row>
    <row r="27" spans="1:10" x14ac:dyDescent="0.2">
      <c r="A27" s="872"/>
      <c r="B27" s="872"/>
      <c r="C27" s="872"/>
      <c r="D27" s="872"/>
      <c r="E27" s="872"/>
      <c r="F27" s="872"/>
      <c r="G27" s="872"/>
      <c r="H27" s="872"/>
      <c r="I27" s="872"/>
      <c r="J27" s="872"/>
    </row>
    <row r="28" spans="1:10" x14ac:dyDescent="0.2">
      <c r="A28" s="872"/>
      <c r="B28" s="872"/>
      <c r="C28" s="872"/>
      <c r="D28" s="872"/>
      <c r="E28" s="872"/>
      <c r="F28" s="872"/>
      <c r="G28" s="872"/>
      <c r="H28" s="872"/>
      <c r="I28" s="872"/>
      <c r="J28" s="872"/>
    </row>
    <row r="29" spans="1:10" x14ac:dyDescent="0.2">
      <c r="A29" s="872"/>
      <c r="B29" s="872"/>
      <c r="C29" s="872"/>
      <c r="D29" s="872"/>
      <c r="E29" s="872"/>
      <c r="F29" s="872"/>
      <c r="G29" s="872"/>
      <c r="H29" s="872"/>
      <c r="I29" s="872"/>
      <c r="J29" s="872"/>
    </row>
    <row r="30" spans="1:10" x14ac:dyDescent="0.2">
      <c r="A30" s="872"/>
      <c r="B30" s="872"/>
      <c r="C30" s="872"/>
      <c r="D30" s="872"/>
      <c r="E30" s="872"/>
      <c r="F30" s="872"/>
      <c r="G30" s="872"/>
      <c r="H30" s="872"/>
      <c r="I30" s="872"/>
      <c r="J30" s="872"/>
    </row>
    <row r="31" spans="1:10" x14ac:dyDescent="0.2">
      <c r="A31" s="872"/>
      <c r="B31" s="872"/>
      <c r="C31" s="872"/>
      <c r="D31" s="872"/>
      <c r="E31" s="872"/>
      <c r="F31" s="872"/>
      <c r="G31" s="872"/>
      <c r="H31" s="872"/>
      <c r="I31" s="872"/>
      <c r="J31" s="872"/>
    </row>
    <row r="32" spans="1:10" x14ac:dyDescent="0.2">
      <c r="A32" s="872"/>
      <c r="B32" s="872"/>
      <c r="C32" s="872"/>
      <c r="D32" s="872"/>
      <c r="E32" s="872"/>
      <c r="F32" s="872"/>
      <c r="G32" s="872"/>
      <c r="H32" s="872"/>
      <c r="I32" s="872"/>
      <c r="J32" s="872"/>
    </row>
    <row r="33" spans="1:10" x14ac:dyDescent="0.2">
      <c r="A33" s="872"/>
      <c r="B33" s="872"/>
      <c r="C33" s="872"/>
      <c r="D33" s="872"/>
      <c r="E33" s="872"/>
      <c r="F33" s="872"/>
      <c r="G33" s="872"/>
      <c r="H33" s="872"/>
      <c r="I33" s="872"/>
      <c r="J33" s="872"/>
    </row>
    <row r="34" spans="1:10" x14ac:dyDescent="0.2">
      <c r="A34" s="872"/>
      <c r="B34" s="872"/>
      <c r="C34" s="872"/>
      <c r="D34" s="872"/>
      <c r="E34" s="872"/>
      <c r="F34" s="872"/>
      <c r="G34" s="872"/>
      <c r="H34" s="872"/>
      <c r="I34" s="872"/>
      <c r="J34" s="872"/>
    </row>
  </sheetData>
  <sheetProtection password="CA6B"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74</vt:i4>
      </vt:variant>
    </vt:vector>
  </HeadingPairs>
  <TitlesOfParts>
    <vt:vector size="80" baseType="lpstr">
      <vt:lpstr>Select Tool</vt:lpstr>
      <vt:lpstr>Fee Calculator</vt:lpstr>
      <vt:lpstr>Fee Quote Sheet</vt:lpstr>
      <vt:lpstr>Lodgement Checklist</vt:lpstr>
      <vt:lpstr>Cost of Development Estimator</vt:lpstr>
      <vt:lpstr>Advert Guide</vt:lpstr>
      <vt:lpstr>A_1</vt:lpstr>
      <vt:lpstr>A_15</vt:lpstr>
      <vt:lpstr>A_22</vt:lpstr>
      <vt:lpstr>A_29</vt:lpstr>
      <vt:lpstr>A_8</vt:lpstr>
      <vt:lpstr>Access</vt:lpstr>
      <vt:lpstr>'P&amp;R Charges Index'!ApplicationType</vt:lpstr>
      <vt:lpstr>ApplicationType</vt:lpstr>
      <vt:lpstr>B_1</vt:lpstr>
      <vt:lpstr>B_15</vt:lpstr>
      <vt:lpstr>B_22</vt:lpstr>
      <vt:lpstr>B_29</vt:lpstr>
      <vt:lpstr>B_8</vt:lpstr>
      <vt:lpstr>BALYesNo</vt:lpstr>
      <vt:lpstr>Building</vt:lpstr>
      <vt:lpstr>C_1</vt:lpstr>
      <vt:lpstr>C_15</vt:lpstr>
      <vt:lpstr>C_22</vt:lpstr>
      <vt:lpstr>C_29</vt:lpstr>
      <vt:lpstr>C_8</vt:lpstr>
      <vt:lpstr>catch</vt:lpstr>
      <vt:lpstr>CatList</vt:lpstr>
      <vt:lpstr>ClearContents</vt:lpstr>
      <vt:lpstr>D_1</vt:lpstr>
      <vt:lpstr>D_15</vt:lpstr>
      <vt:lpstr>D_22</vt:lpstr>
      <vt:lpstr>D_29</vt:lpstr>
      <vt:lpstr>D_8</vt:lpstr>
      <vt:lpstr>Decision</vt:lpstr>
      <vt:lpstr>Development</vt:lpstr>
      <vt:lpstr>E_1</vt:lpstr>
      <vt:lpstr>E_15</vt:lpstr>
      <vt:lpstr>E_22</vt:lpstr>
      <vt:lpstr>E_29</vt:lpstr>
      <vt:lpstr>E_8</vt:lpstr>
      <vt:lpstr>'BAL Calculator'!Grassland</vt:lpstr>
      <vt:lpstr>Greater50</vt:lpstr>
      <vt:lpstr>GST</vt:lpstr>
      <vt:lpstr>IdentifyUser</vt:lpstr>
      <vt:lpstr>j</vt:lpstr>
      <vt:lpstr>k</vt:lpstr>
      <vt:lpstr>l</vt:lpstr>
      <vt:lpstr>m</vt:lpstr>
      <vt:lpstr>n</vt:lpstr>
      <vt:lpstr>o</vt:lpstr>
      <vt:lpstr>Officer</vt:lpstr>
      <vt:lpstr>oo</vt:lpstr>
      <vt:lpstr>p</vt:lpstr>
      <vt:lpstr>Plan</vt:lpstr>
      <vt:lpstr>PlanList</vt:lpstr>
      <vt:lpstr>'BAL Calculator'!Print_Area</vt:lpstr>
      <vt:lpstr>'BAL Variables'!Print_Area</vt:lpstr>
      <vt:lpstr>'Cost of Development Estimator'!Print_Area</vt:lpstr>
      <vt:lpstr>'Fee Calculator'!Print_Area</vt:lpstr>
      <vt:lpstr>'Fee Quote Sheet'!Print_Area</vt:lpstr>
      <vt:lpstr>'Lodgement Checklist'!Print_Area</vt:lpstr>
      <vt:lpstr>'Old Contributions Calculator'!Print_Area</vt:lpstr>
      <vt:lpstr>PublicTool</vt:lpstr>
      <vt:lpstr>q</vt:lpstr>
      <vt:lpstr>rr</vt:lpstr>
      <vt:lpstr>s</vt:lpstr>
      <vt:lpstr>Slope</vt:lpstr>
      <vt:lpstr>Solution</vt:lpstr>
      <vt:lpstr>StaffTool</vt:lpstr>
      <vt:lpstr>SubType</vt:lpstr>
      <vt:lpstr>t</vt:lpstr>
      <vt:lpstr>u</vt:lpstr>
      <vt:lpstr>'BAL Calculator'!Upslope</vt:lpstr>
      <vt:lpstr>v</vt:lpstr>
      <vt:lpstr>Vegetation</vt:lpstr>
      <vt:lpstr>'BAL Variables'!YesNo</vt:lpstr>
      <vt:lpstr>YesNo</vt:lpstr>
      <vt:lpstr>YesNoNA</vt:lpstr>
      <vt:lpstr>Zone</vt:lpstr>
    </vt:vector>
  </TitlesOfParts>
  <Company>HCC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Sykes, Leanne</dc:creator>
  <cp:lastModifiedBy>Sykes, Leanne</cp:lastModifiedBy>
  <cp:lastPrinted>2018-05-10T23:20:44Z</cp:lastPrinted>
  <dcterms:created xsi:type="dcterms:W3CDTF">2008-02-07T22:08:56Z</dcterms:created>
  <dcterms:modified xsi:type="dcterms:W3CDTF">2019-07-29T01:59:18Z</dcterms:modified>
</cp:coreProperties>
</file>